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KKR\FKSS\Rammeaftaler\Rammeaftale 2023\Godkendelse\"/>
    </mc:Choice>
  </mc:AlternateContent>
  <xr:revisionPtr revIDLastSave="0" documentId="13_ncr:1_{9DE16E7F-928A-4DE3-AB9E-6E30B36B369D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Model for flere takstniveauer" sheetId="1" r:id="rId1"/>
    <sheet name="Simulering ved flere takstniv" sheetId="2" r:id="rId2"/>
    <sheet name="Beregning af belægningsprocen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3" l="1"/>
  <c r="N7" i="2"/>
  <c r="H7" i="2"/>
  <c r="B7" i="2"/>
  <c r="B31" i="1"/>
  <c r="C40" i="3" l="1"/>
  <c r="D32" i="3"/>
  <c r="C31" i="3"/>
  <c r="B33" i="3"/>
  <c r="D29" i="3"/>
  <c r="C30" i="3" l="1"/>
  <c r="C33" i="3" s="1"/>
  <c r="D33" i="3" s="1"/>
  <c r="P9" i="2" l="1"/>
  <c r="D9" i="2"/>
  <c r="J9" i="2"/>
  <c r="I11" i="2"/>
  <c r="C11" i="2"/>
  <c r="O8" i="2"/>
  <c r="I8" i="2"/>
  <c r="C8" i="2"/>
  <c r="N10" i="2"/>
  <c r="I7" i="2"/>
  <c r="B10" i="2"/>
  <c r="P6" i="2"/>
  <c r="J6" i="2"/>
  <c r="D6" i="2"/>
  <c r="C35" i="1"/>
  <c r="C32" i="1"/>
  <c r="B34" i="1"/>
  <c r="D30" i="1"/>
  <c r="I10" i="2" l="1"/>
  <c r="B36" i="1"/>
  <c r="B71" i="1" s="1"/>
  <c r="H10" i="2"/>
  <c r="H12" i="2" s="1"/>
  <c r="B12" i="2"/>
  <c r="B23" i="2" s="1"/>
  <c r="B26" i="2" s="1"/>
  <c r="D23" i="2" s="1"/>
  <c r="E23" i="2" s="1"/>
  <c r="I12" i="2"/>
  <c r="B70" i="1"/>
  <c r="C31" i="1"/>
  <c r="C34" i="1" s="1"/>
  <c r="C7" i="2"/>
  <c r="C10" i="2" s="1"/>
  <c r="O7" i="2"/>
  <c r="O10" i="2" s="1"/>
  <c r="B54" i="1" l="1"/>
  <c r="B57" i="1" s="1"/>
  <c r="D54" i="1" s="1"/>
  <c r="E54" i="1" s="1"/>
  <c r="B61" i="1"/>
  <c r="B64" i="1" s="1"/>
  <c r="D61" i="1" s="1"/>
  <c r="E61" i="1" s="1"/>
  <c r="B47" i="1"/>
  <c r="B50" i="1" s="1"/>
  <c r="D47" i="1" s="1"/>
  <c r="E47" i="1" s="1"/>
  <c r="B40" i="1"/>
  <c r="B43" i="1" s="1"/>
  <c r="D40" i="1" s="1"/>
  <c r="B37" i="2"/>
  <c r="B40" i="2" s="1"/>
  <c r="D37" i="2" s="1"/>
  <c r="E37" i="2" s="1"/>
  <c r="B30" i="2"/>
  <c r="B33" i="2" s="1"/>
  <c r="D30" i="2" s="1"/>
  <c r="E30" i="2" s="1"/>
  <c r="B47" i="2"/>
  <c r="B16" i="2"/>
  <c r="B22" i="3" s="1"/>
  <c r="B46" i="2"/>
  <c r="J12" i="2"/>
  <c r="C12" i="2"/>
  <c r="D12" i="2" s="1"/>
  <c r="D10" i="2"/>
  <c r="P10" i="2"/>
  <c r="J10" i="2"/>
  <c r="H46" i="2"/>
  <c r="H37" i="2"/>
  <c r="H40" i="2" s="1"/>
  <c r="J37" i="2" s="1"/>
  <c r="K37" i="2" s="1"/>
  <c r="H30" i="2"/>
  <c r="H33" i="2" s="1"/>
  <c r="J30" i="2" s="1"/>
  <c r="K30" i="2" s="1"/>
  <c r="H23" i="2"/>
  <c r="H26" i="2" s="1"/>
  <c r="J23" i="2" s="1"/>
  <c r="K23" i="2" s="1"/>
  <c r="H47" i="2"/>
  <c r="H16" i="2"/>
  <c r="C36" i="1"/>
  <c r="D36" i="1" s="1"/>
  <c r="D34" i="1"/>
  <c r="D66" i="1" l="1"/>
  <c r="E66" i="1" s="1"/>
  <c r="B19" i="2"/>
  <c r="D16" i="2" s="1"/>
  <c r="D42" i="2" s="1"/>
  <c r="E42" i="2" s="1"/>
  <c r="B23" i="3"/>
  <c r="B24" i="3" s="1"/>
  <c r="B41" i="3" s="1"/>
  <c r="E40" i="1"/>
  <c r="E36" i="1"/>
  <c r="E16" i="2"/>
  <c r="H19" i="2"/>
  <c r="J16" i="2" s="1"/>
  <c r="J42" i="2" s="1"/>
  <c r="J44" i="2" s="1"/>
  <c r="K12" i="2"/>
  <c r="E12" i="2"/>
  <c r="B55" i="3" l="1"/>
  <c r="B48" i="3"/>
  <c r="B62" i="3"/>
  <c r="D68" i="1"/>
  <c r="D73" i="1" s="1"/>
  <c r="E73" i="1" s="1"/>
  <c r="D44" i="2"/>
  <c r="E44" i="2" s="1"/>
  <c r="K16" i="2"/>
  <c r="E68" i="1" l="1"/>
  <c r="D49" i="2"/>
  <c r="N11" i="2" s="1"/>
  <c r="D74" i="1"/>
  <c r="E74" i="1" s="1"/>
  <c r="K42" i="2"/>
  <c r="E49" i="2" l="1"/>
  <c r="D50" i="2"/>
  <c r="E50" i="2" s="1"/>
  <c r="O11" i="2"/>
  <c r="O12" i="2" s="1"/>
  <c r="N12" i="2"/>
  <c r="K44" i="2"/>
  <c r="J49" i="2"/>
  <c r="K49" i="2" l="1"/>
  <c r="B34" i="3"/>
  <c r="P12" i="2"/>
  <c r="N47" i="2"/>
  <c r="N37" i="2"/>
  <c r="N40" i="2" s="1"/>
  <c r="P37" i="2" s="1"/>
  <c r="Q37" i="2" s="1"/>
  <c r="N46" i="2"/>
  <c r="N30" i="2"/>
  <c r="N33" i="2" s="1"/>
  <c r="P30" i="2" s="1"/>
  <c r="Q30" i="2" s="1"/>
  <c r="N23" i="2"/>
  <c r="N26" i="2" s="1"/>
  <c r="P23" i="2" s="1"/>
  <c r="Q23" i="2" s="1"/>
  <c r="N16" i="2"/>
  <c r="N19" i="2" s="1"/>
  <c r="P16" i="2" s="1"/>
  <c r="J50" i="2"/>
  <c r="K50" i="2" s="1"/>
  <c r="C34" i="3" l="1"/>
  <c r="C35" i="3" s="1"/>
  <c r="B35" i="3"/>
  <c r="Q16" i="2"/>
  <c r="P42" i="2"/>
  <c r="Q42" i="2" s="1"/>
  <c r="Q12" i="2"/>
  <c r="B70" i="3" l="1"/>
  <c r="B53" i="3"/>
  <c r="B56" i="3" s="1"/>
  <c r="D53" i="3" s="1"/>
  <c r="E53" i="3" s="1"/>
  <c r="B69" i="3"/>
  <c r="B60" i="3"/>
  <c r="B63" i="3" s="1"/>
  <c r="D60" i="3" s="1"/>
  <c r="E60" i="3" s="1"/>
  <c r="B46" i="3"/>
  <c r="B49" i="3" s="1"/>
  <c r="D46" i="3" s="1"/>
  <c r="E46" i="3" s="1"/>
  <c r="B39" i="3"/>
  <c r="D35" i="3"/>
  <c r="P44" i="2"/>
  <c r="D39" i="3" l="1"/>
  <c r="E39" i="3" s="1"/>
  <c r="B42" i="3"/>
  <c r="E35" i="3"/>
  <c r="D65" i="3"/>
  <c r="E65" i="3" s="1"/>
  <c r="P49" i="2"/>
  <c r="Q49" i="2" s="1"/>
  <c r="Q44" i="2"/>
  <c r="D67" i="3" l="1"/>
  <c r="E67" i="3" s="1"/>
  <c r="P50" i="2"/>
  <c r="Q50" i="2" s="1"/>
  <c r="D72" i="3" l="1"/>
  <c r="E72" i="3" s="1"/>
  <c r="D73" i="3" l="1"/>
  <c r="E73" i="3" s="1"/>
</calcChain>
</file>

<file path=xl/sharedStrings.xml><?xml version="1.0" encoding="utf-8"?>
<sst xmlns="http://schemas.openxmlformats.org/spreadsheetml/2006/main" count="348" uniqueCount="84">
  <si>
    <t xml:space="preserve">følger principperne i styringsaftalen og tjener som inspiration til driftsherrekommunerne til, hvordan beregningen af efterreguleringen kan udføres. </t>
  </si>
  <si>
    <t>Der er ikke pligt til at anvende præcis denne model.</t>
  </si>
  <si>
    <t>Efterreguleringen beregnes som nettoresultatets afvigelse (summen af afvigelser på udgifts- og indtægtssiden) fra det omkostningsbaserede budget.</t>
  </si>
  <si>
    <t>omkostningsbaserede budget.</t>
  </si>
  <si>
    <t>Beregning af de direkte og beregnede omkostninger samt den budgetterede belægningsprocent skal følge principperne i styringsaftalen.</t>
  </si>
  <si>
    <t>Feltet "Til efterregulering" viser det beløb, som ligger ud over grænsen på 5 procent og dermed skal efterreguleres i taksten for tilbuddet to år efter.</t>
  </si>
  <si>
    <t>Model til beregning af efterregulering</t>
  </si>
  <si>
    <t>Omkostnings-baseret budget</t>
  </si>
  <si>
    <t>Endeligt regnskab</t>
  </si>
  <si>
    <t xml:space="preserve">Afvigelse </t>
  </si>
  <si>
    <t>Afvigelse i procent</t>
  </si>
  <si>
    <t>(+=underskud/ -= overskud)</t>
  </si>
  <si>
    <t>Beregnede omkostninger</t>
  </si>
  <si>
    <t>Samlet før efterregulering</t>
  </si>
  <si>
    <t>Efterregulering af O/U-skud</t>
  </si>
  <si>
    <t>Budgetteret takstgrundlag</t>
  </si>
  <si>
    <t>Andel af omk. Bas. Budget</t>
  </si>
  <si>
    <t>Afvigelse</t>
  </si>
  <si>
    <t>Takstindtægt</t>
  </si>
  <si>
    <t>Normerede pladser</t>
  </si>
  <si>
    <t>Belægningsprocent</t>
  </si>
  <si>
    <t>Takst pr. år</t>
  </si>
  <si>
    <t>Takstindtægter samlet afvigelse</t>
  </si>
  <si>
    <t>Nettoresultat</t>
  </si>
  <si>
    <t>+5 % grænse</t>
  </si>
  <si>
    <t>Til efterregulering</t>
  </si>
  <si>
    <t>Tab/gevinst for driftsherre</t>
  </si>
  <si>
    <t>(+=underskud/-= overskud)</t>
  </si>
  <si>
    <t>Oprindeligt budget</t>
  </si>
  <si>
    <t>Vægtet gennemsnit år 0</t>
  </si>
  <si>
    <t>Vægtet gennemsnit år 1</t>
  </si>
  <si>
    <t>Gennemsnit af år 0 og 1</t>
  </si>
  <si>
    <t>-5 % grænse</t>
  </si>
  <si>
    <t>Belægningspct.</t>
  </si>
  <si>
    <t xml:space="preserve">Trods den højere takstindtjening i takstgruppe 4 betyder merforbruget på de direkte udgifter, at </t>
  </si>
  <si>
    <t>Der skal alene indføres værdier i de hvide felter. Det vil sige de direkte og beregnede omkostninger, indtægter fra beboere m.v. og efterreguleringen.</t>
  </si>
  <si>
    <t>midlertidig overbelægning, kan denne udelades i beregning af belægningsprocenten. Der kan aldrig anvendes en belægningsprocent over 100.</t>
  </si>
  <si>
    <t>Beregning af belægningsprocent år 3</t>
  </si>
  <si>
    <t>Principper for efterregulering i styringsaftalen</t>
  </si>
  <si>
    <t>Ifølge styringsaftalen beregnes taksten på grundlag af en belægningsprocent i tilbuddet. Til beregning af takster anvendes gennemsnittet af</t>
  </si>
  <si>
    <t>Vejledning til modellen</t>
  </si>
  <si>
    <t>Modellen beregner automatisk de vægtede gennemsnit for henholdsvis år 0 og år 1 fra fanebladet "Simulering". Beregningerne fremgår af formlerne.</t>
  </si>
  <si>
    <t>Vejledning til udfyldelse af model</t>
  </si>
  <si>
    <t>Feltet "Tab/gevinst for driftsherre" viser det beløb, som ligger inden for grænsen på 5 procent og dermed tilfalder/skal afholdes af driftsherre selv.</t>
  </si>
  <si>
    <t>Ifølge styringsaftalen skal afvigelser inden for 5 procent af tilbuddets omkostningsbaserede budget, der ligger til grund for takstberegningen, afholdes</t>
  </si>
  <si>
    <t xml:space="preserve">følger principperne i styringsaftalen og tjener som inspiration til driftsherrekommunerne til, hvordan beregningen af belægningsprocenten kan udføres. </t>
  </si>
  <si>
    <t>Der er i formlen indsat et loft, så belægningsprocenten maksimalt kan beregnes til 100 procent.</t>
  </si>
  <si>
    <t>belægningsprocenten 2 år forud for budgetåret. For 2015 anvendes eksempelvis gennemsnittet af den faktiske belægningsprocent i 2012 og 2013. Har der været tale om en</t>
  </si>
  <si>
    <t>af driftsherren. Afvigelser over +/- 5 procent af budgettet efterreguleres i taksten for tilbuddet senest 2 år efter det år afvigelsen vedrører.</t>
  </si>
  <si>
    <t>Direkte omkostninger*</t>
  </si>
  <si>
    <t>*) De direkte omkostninger beregnes inklusiv 2 % til reparation og vedligeholdelse</t>
  </si>
  <si>
    <t>Eksempel på model til beregning af takster, herunder efterregulering af over-/underskud ved anvendelse af flere takstniveauer</t>
  </si>
  <si>
    <t>Simulering af beregning af takster, herunder efterregulering af over-/underskud ved anvendelse af flere takstniveauerover en 3-årig periode</t>
  </si>
  <si>
    <t>Eksempel på model til beregning af belægningsprocent i forbindelse med takstfastsættelse ved anvendelse af flere takstniveauer</t>
  </si>
  <si>
    <t>Nedenstående eksempel på model til beregning af belægningsprocent, når der anvendes flere takstniveauer i samme tilbud,</t>
  </si>
  <si>
    <t>For tilbud med to eller flere takstniveauer beregnes belægningsprocenten på baggrund af tilbuddets samlede, gennemsnitlige</t>
  </si>
  <si>
    <t>belægning i de to år forud for budgetåret, vægtet efter takstniveauernes andel af det samlede omkostningsbaserede budget.</t>
  </si>
  <si>
    <t xml:space="preserve">Den beregnede belægningsprocent anvendes på alle takstniveauer. </t>
  </si>
  <si>
    <t>Den beregnede belægningsprocent overføres automatisk til alle fire takstniveauer.</t>
  </si>
  <si>
    <t>Takstniveau 1</t>
  </si>
  <si>
    <t>Takstniveau 2</t>
  </si>
  <si>
    <t>Takstniveau 3</t>
  </si>
  <si>
    <t>Takstniveau 4</t>
  </si>
  <si>
    <t>Nedenstående eksempel på model til beregning af efterregulering, når der anvendes flere takstniveauer i samme tilbud,</t>
  </si>
  <si>
    <t>For tilbud med to eller flere takstniveauer beregnes efterreguleringen af over- og underskud på baggrund af nettoresultatets afvigelse fra tilbuddets</t>
  </si>
  <si>
    <t>samlede omkostningsbaserede budget. Efterreguleringen fordeles forholdsmæssigt ud på takstniveauerne ud fra deres andel af det samlede</t>
  </si>
  <si>
    <t xml:space="preserve">I feltet "Andel af omk. Bas. Budget" anføres den pågældende takstniveaus andel af det omkostningsbaserede budget for tilbuddet. </t>
  </si>
  <si>
    <t>Takstniveauernes andel af det omkostningsbaserede budget kan enten beregnes ud fra en konkret fordeling eller vha. fordelingsnøgler.</t>
  </si>
  <si>
    <t>Der kan selvfølgelig anvendes færre eller flere takstniveauer end angivet i modellen.</t>
  </si>
  <si>
    <t>Efterreguleringen omfatter alene afvigelser i tilbuddets direkte omkostninger samt takstindtægterne, mens der ikke medregnes afvigelser på de indirekte og de beregnede omkostninger.</t>
  </si>
  <si>
    <t>Almindelige indtægter</t>
  </si>
  <si>
    <r>
      <t xml:space="preserve">År 0: </t>
    </r>
    <r>
      <rPr>
        <sz val="10"/>
        <color theme="1"/>
        <rFont val="Calibri"/>
        <family val="2"/>
        <scheme val="minor"/>
      </rPr>
      <t>Merforbrug på udgiftssiden og højere belægning end budgetteret</t>
    </r>
  </si>
  <si>
    <r>
      <t xml:space="preserve">År 1: </t>
    </r>
    <r>
      <rPr>
        <sz val="10"/>
        <color theme="1"/>
        <rFont val="Calibri"/>
        <family val="2"/>
        <scheme val="minor"/>
      </rPr>
      <t>Mindreforbrug på udgiftssiden og ingen ændringer i belægning</t>
    </r>
  </si>
  <si>
    <r>
      <rPr>
        <b/>
        <sz val="10"/>
        <color theme="1"/>
        <rFont val="Calibri"/>
        <family val="2"/>
        <scheme val="minor"/>
      </rPr>
      <t xml:space="preserve">År 2: </t>
    </r>
    <r>
      <rPr>
        <sz val="10"/>
        <color theme="1"/>
        <rFont val="Calibri"/>
        <family val="2"/>
        <scheme val="minor"/>
      </rPr>
      <t>Indregning af efterregulering fra år 0 i taksten.</t>
    </r>
  </si>
  <si>
    <r>
      <rPr>
        <b/>
        <sz val="10"/>
        <color theme="1"/>
        <rFont val="Calibri"/>
        <family val="2"/>
        <scheme val="minor"/>
      </rPr>
      <t xml:space="preserve">År 3: </t>
    </r>
    <r>
      <rPr>
        <sz val="10"/>
        <color theme="1"/>
        <rFont val="Calibri"/>
        <family val="2"/>
        <scheme val="minor"/>
      </rPr>
      <t>Indregning af beregnet belægningsprocent samt efterregulering fra år 1 i taksten.</t>
    </r>
  </si>
  <si>
    <t>I hver takstniveau angives det normerede antal pladser, den budgetterede og realiserede belægningsprocent samt de realiserede indtægter i det endelige regnskab.</t>
  </si>
  <si>
    <t>Indirekte omkostninger (6 % af dir. omk.)</t>
  </si>
  <si>
    <t>Indirekte omkostninger (6 % af d. omk.)</t>
  </si>
  <si>
    <t>nettoregnskabet udviser et underskud på 5,1 % af det omkostningsbaserede budget.</t>
  </si>
  <si>
    <t>Dette giver en efterregulering svarende til 0,1 % af det omkostningsbaserede budget.</t>
  </si>
  <si>
    <t>Med et mindreforbrug på 5,9 % af det omkostningsbaserede budget og en højere</t>
  </si>
  <si>
    <t>takstindtægt på 0,96 % udviser nettoresultatet et overskud på 6,9 %, hvilket ligger over 5 % grænsen.</t>
  </si>
  <si>
    <t>Der er således grundag for efterregulering på 1,9 %.</t>
  </si>
  <si>
    <t>Overbelægning i takstgruppe 4 medfører en merindtjening på 3,5 %, som tilfalder diftsherre.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</si>
</sst>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0" fillId="0" borderId="0" xfId="0" applyNumberFormat="1"/>
    <xf numFmtId="0" fontId="3" fillId="0" borderId="0" xfId="0" applyNumberFormat="1" applyFont="1"/>
    <xf numFmtId="165" fontId="0" fillId="0" borderId="0" xfId="1" applyNumberFormat="1" applyFont="1" applyFill="1" applyBorder="1"/>
    <xf numFmtId="0" fontId="6" fillId="0" borderId="0" xfId="0" applyFont="1"/>
    <xf numFmtId="0" fontId="0" fillId="0" borderId="0" xfId="1" applyNumberFormat="1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165" fontId="2" fillId="0" borderId="0" xfId="0" applyNumberFormat="1" applyFont="1" applyBorder="1" applyAlignment="1"/>
    <xf numFmtId="0" fontId="5" fillId="0" borderId="0" xfId="0" applyFont="1"/>
    <xf numFmtId="165" fontId="5" fillId="0" borderId="0" xfId="0" applyNumberFormat="1" applyFont="1" applyBorder="1" applyAlignment="1"/>
    <xf numFmtId="0" fontId="3" fillId="0" borderId="0" xfId="1" applyNumberFormat="1" applyFont="1" applyFill="1" applyBorder="1"/>
    <xf numFmtId="0" fontId="0" fillId="0" borderId="0" xfId="1" applyNumberFormat="1" applyFont="1" applyFill="1" applyBorder="1"/>
    <xf numFmtId="165" fontId="0" fillId="0" borderId="0" xfId="2" applyNumberFormat="1" applyFont="1" applyFill="1" applyBorder="1"/>
    <xf numFmtId="165" fontId="3" fillId="0" borderId="0" xfId="2" applyNumberFormat="1" applyFont="1" applyFill="1" applyBorder="1"/>
    <xf numFmtId="0" fontId="4" fillId="0" borderId="0" xfId="0" applyFont="1" applyAlignment="1">
      <alignment vertical="top"/>
    </xf>
    <xf numFmtId="0" fontId="7" fillId="0" borderId="0" xfId="0" applyFont="1"/>
    <xf numFmtId="165" fontId="8" fillId="0" borderId="0" xfId="1" applyNumberFormat="1" applyFont="1"/>
    <xf numFmtId="0" fontId="8" fillId="0" borderId="0" xfId="0" applyFont="1"/>
    <xf numFmtId="165" fontId="7" fillId="0" borderId="0" xfId="1" applyNumberFormat="1" applyFont="1"/>
    <xf numFmtId="0" fontId="8" fillId="0" borderId="0" xfId="0" applyNumberFormat="1" applyFont="1"/>
    <xf numFmtId="0" fontId="7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5" fontId="8" fillId="2" borderId="2" xfId="1" applyNumberFormat="1" applyFont="1" applyFill="1" applyBorder="1" applyAlignment="1">
      <alignment horizontal="center" wrapText="1"/>
    </xf>
    <xf numFmtId="165" fontId="8" fillId="2" borderId="6" xfId="1" applyNumberFormat="1" applyFont="1" applyFill="1" applyBorder="1" applyAlignment="1">
      <alignment horizontal="center" wrapText="1"/>
    </xf>
    <xf numFmtId="0" fontId="8" fillId="2" borderId="8" xfId="0" applyFont="1" applyFill="1" applyBorder="1"/>
    <xf numFmtId="165" fontId="8" fillId="0" borderId="2" xfId="1" applyNumberFormat="1" applyFont="1" applyBorder="1"/>
    <xf numFmtId="165" fontId="8" fillId="0" borderId="9" xfId="1" applyNumberFormat="1" applyFont="1" applyBorder="1"/>
    <xf numFmtId="165" fontId="8" fillId="2" borderId="2" xfId="1" applyNumberFormat="1" applyFont="1" applyFill="1" applyBorder="1"/>
    <xf numFmtId="9" fontId="8" fillId="2" borderId="10" xfId="2" applyNumberFormat="1" applyFont="1" applyFill="1" applyBorder="1"/>
    <xf numFmtId="0" fontId="8" fillId="2" borderId="11" xfId="0" applyFont="1" applyFill="1" applyBorder="1"/>
    <xf numFmtId="165" fontId="8" fillId="2" borderId="6" xfId="1" applyNumberFormat="1" applyFont="1" applyFill="1" applyBorder="1"/>
    <xf numFmtId="165" fontId="8" fillId="2" borderId="0" xfId="1" applyNumberFormat="1" applyFont="1" applyFill="1" applyBorder="1"/>
    <xf numFmtId="165" fontId="8" fillId="2" borderId="12" xfId="1" applyNumberFormat="1" applyFont="1" applyFill="1" applyBorder="1"/>
    <xf numFmtId="165" fontId="8" fillId="0" borderId="6" xfId="1" applyNumberFormat="1" applyFont="1" applyBorder="1"/>
    <xf numFmtId="0" fontId="8" fillId="2" borderId="13" xfId="0" applyFont="1" applyFill="1" applyBorder="1"/>
    <xf numFmtId="165" fontId="8" fillId="0" borderId="14" xfId="1" applyNumberFormat="1" applyFont="1" applyBorder="1"/>
    <xf numFmtId="165" fontId="8" fillId="0" borderId="15" xfId="1" applyNumberFormat="1" applyFont="1" applyFill="1" applyBorder="1"/>
    <xf numFmtId="165" fontId="8" fillId="2" borderId="14" xfId="1" applyNumberFormat="1" applyFont="1" applyFill="1" applyBorder="1"/>
    <xf numFmtId="165" fontId="8" fillId="2" borderId="16" xfId="1" applyNumberFormat="1" applyFont="1" applyFill="1" applyBorder="1"/>
    <xf numFmtId="9" fontId="8" fillId="2" borderId="12" xfId="2" applyFont="1" applyFill="1" applyBorder="1"/>
    <xf numFmtId="165" fontId="8" fillId="0" borderId="14" xfId="1" applyNumberFormat="1" applyFont="1" applyFill="1" applyBorder="1"/>
    <xf numFmtId="165" fontId="8" fillId="2" borderId="15" xfId="1" applyNumberFormat="1" applyFont="1" applyFill="1" applyBorder="1"/>
    <xf numFmtId="0" fontId="7" fillId="2" borderId="17" xfId="0" applyFont="1" applyFill="1" applyBorder="1"/>
    <xf numFmtId="165" fontId="7" fillId="2" borderId="5" xfId="1" applyNumberFormat="1" applyFont="1" applyFill="1" applyBorder="1"/>
    <xf numFmtId="165" fontId="7" fillId="2" borderId="18" xfId="1" applyNumberFormat="1" applyFont="1" applyFill="1" applyBorder="1"/>
    <xf numFmtId="166" fontId="7" fillId="2" borderId="19" xfId="2" applyNumberFormat="1" applyFont="1" applyFill="1" applyBorder="1"/>
    <xf numFmtId="0" fontId="7" fillId="0" borderId="0" xfId="0" applyFont="1" applyFill="1" applyBorder="1"/>
    <xf numFmtId="165" fontId="8" fillId="0" borderId="0" xfId="1" applyNumberFormat="1" applyFont="1" applyAlignment="1">
      <alignment horizontal="right"/>
    </xf>
    <xf numFmtId="167" fontId="8" fillId="0" borderId="0" xfId="1" applyNumberFormat="1" applyFont="1"/>
    <xf numFmtId="0" fontId="8" fillId="2" borderId="20" xfId="0" applyFont="1" applyFill="1" applyBorder="1"/>
    <xf numFmtId="165" fontId="8" fillId="2" borderId="21" xfId="1" applyNumberFormat="1" applyFont="1" applyFill="1" applyBorder="1" applyAlignment="1">
      <alignment horizontal="center" wrapText="1"/>
    </xf>
    <xf numFmtId="165" fontId="8" fillId="2" borderId="22" xfId="1" applyNumberFormat="1" applyFont="1" applyFill="1" applyBorder="1" applyAlignment="1">
      <alignment horizontal="center" wrapText="1"/>
    </xf>
    <xf numFmtId="165" fontId="8" fillId="2" borderId="21" xfId="1" applyNumberFormat="1" applyFont="1" applyFill="1" applyBorder="1" applyAlignment="1">
      <alignment horizontal="center"/>
    </xf>
    <xf numFmtId="165" fontId="8" fillId="2" borderId="23" xfId="1" applyNumberFormat="1" applyFont="1" applyFill="1" applyBorder="1" applyAlignment="1">
      <alignment horizontal="center" wrapText="1"/>
    </xf>
    <xf numFmtId="0" fontId="7" fillId="2" borderId="8" xfId="0" applyFont="1" applyFill="1" applyBorder="1"/>
    <xf numFmtId="165" fontId="7" fillId="2" borderId="2" xfId="1" applyNumberFormat="1" applyFont="1" applyFill="1" applyBorder="1"/>
    <xf numFmtId="166" fontId="7" fillId="2" borderId="10" xfId="2" applyNumberFormat="1" applyFont="1" applyFill="1" applyBorder="1"/>
    <xf numFmtId="165" fontId="8" fillId="0" borderId="6" xfId="1" applyNumberFormat="1" applyFont="1" applyFill="1" applyBorder="1"/>
    <xf numFmtId="0" fontId="8" fillId="2" borderId="17" xfId="0" applyFont="1" applyFill="1" applyBorder="1"/>
    <xf numFmtId="9" fontId="8" fillId="0" borderId="5" xfId="2" applyFont="1" applyBorder="1"/>
    <xf numFmtId="9" fontId="8" fillId="0" borderId="18" xfId="2" applyFont="1" applyBorder="1"/>
    <xf numFmtId="165" fontId="8" fillId="2" borderId="5" xfId="1" applyNumberFormat="1" applyFont="1" applyFill="1" applyBorder="1"/>
    <xf numFmtId="166" fontId="8" fillId="2" borderId="19" xfId="2" applyNumberFormat="1" applyFont="1" applyFill="1" applyBorder="1"/>
    <xf numFmtId="165" fontId="8" fillId="2" borderId="24" xfId="1" applyNumberFormat="1" applyFont="1" applyFill="1" applyBorder="1"/>
    <xf numFmtId="9" fontId="8" fillId="0" borderId="0" xfId="2" applyFont="1" applyBorder="1"/>
    <xf numFmtId="165" fontId="8" fillId="0" borderId="0" xfId="1" applyNumberFormat="1" applyFont="1" applyFill="1" applyBorder="1"/>
    <xf numFmtId="0" fontId="8" fillId="0" borderId="0" xfId="0" applyFont="1" applyFill="1" applyBorder="1"/>
    <xf numFmtId="9" fontId="8" fillId="0" borderId="0" xfId="2" applyFont="1" applyFill="1" applyBorder="1"/>
    <xf numFmtId="0" fontId="7" fillId="2" borderId="20" xfId="0" applyFont="1" applyFill="1" applyBorder="1"/>
    <xf numFmtId="165" fontId="7" fillId="2" borderId="22" xfId="1" applyNumberFormat="1" applyFont="1" applyFill="1" applyBorder="1"/>
    <xf numFmtId="9" fontId="7" fillId="2" borderId="22" xfId="2" applyFont="1" applyFill="1" applyBorder="1"/>
    <xf numFmtId="166" fontId="7" fillId="2" borderId="23" xfId="2" applyNumberFormat="1" applyFont="1" applyFill="1" applyBorder="1"/>
    <xf numFmtId="0" fontId="8" fillId="2" borderId="8" xfId="0" quotePrefix="1" applyFont="1" applyFill="1" applyBorder="1"/>
    <xf numFmtId="165" fontId="8" fillId="2" borderId="10" xfId="1" applyNumberFormat="1" applyFont="1" applyFill="1" applyBorder="1"/>
    <xf numFmtId="0" fontId="8" fillId="2" borderId="17" xfId="0" quotePrefix="1" applyFont="1" applyFill="1" applyBorder="1"/>
    <xf numFmtId="165" fontId="8" fillId="2" borderId="19" xfId="1" applyNumberFormat="1" applyFont="1" applyFill="1" applyBorder="1"/>
    <xf numFmtId="0" fontId="8" fillId="0" borderId="0" xfId="0" quotePrefix="1" applyFont="1" applyFill="1" applyBorder="1"/>
    <xf numFmtId="0" fontId="9" fillId="2" borderId="8" xfId="0" applyFont="1" applyFill="1" applyBorder="1"/>
    <xf numFmtId="165" fontId="9" fillId="2" borderId="9" xfId="1" applyNumberFormat="1" applyFont="1" applyFill="1" applyBorder="1"/>
    <xf numFmtId="166" fontId="9" fillId="2" borderId="10" xfId="2" applyNumberFormat="1" applyFont="1" applyFill="1" applyBorder="1"/>
    <xf numFmtId="0" fontId="10" fillId="2" borderId="17" xfId="0" applyFont="1" applyFill="1" applyBorder="1"/>
    <xf numFmtId="165" fontId="10" fillId="2" borderId="18" xfId="1" applyNumberFormat="1" applyFont="1" applyFill="1" applyBorder="1"/>
    <xf numFmtId="166" fontId="10" fillId="2" borderId="19" xfId="2" applyNumberFormat="1" applyFont="1" applyFill="1" applyBorder="1"/>
    <xf numFmtId="0" fontId="8" fillId="0" borderId="0" xfId="1" applyNumberFormat="1" applyFont="1"/>
    <xf numFmtId="164" fontId="8" fillId="0" borderId="0" xfId="1" applyNumberFormat="1" applyFont="1"/>
    <xf numFmtId="0" fontId="7" fillId="0" borderId="0" xfId="0" applyNumberFormat="1" applyFont="1" applyAlignment="1">
      <alignment horizontal="left"/>
    </xf>
    <xf numFmtId="0" fontId="8" fillId="2" borderId="2" xfId="1" applyNumberFormat="1" applyFont="1" applyFill="1" applyBorder="1" applyAlignment="1">
      <alignment horizontal="center" wrapText="1"/>
    </xf>
    <xf numFmtId="0" fontId="8" fillId="2" borderId="6" xfId="1" applyNumberFormat="1" applyFont="1" applyFill="1" applyBorder="1" applyAlignment="1">
      <alignment horizontal="center" wrapText="1"/>
    </xf>
    <xf numFmtId="0" fontId="8" fillId="2" borderId="8" xfId="0" applyNumberFormat="1" applyFont="1" applyFill="1" applyBorder="1"/>
    <xf numFmtId="165" fontId="8" fillId="2" borderId="9" xfId="1" applyNumberFormat="1" applyFont="1" applyFill="1" applyBorder="1"/>
    <xf numFmtId="165" fontId="8" fillId="2" borderId="3" xfId="1" applyNumberFormat="1" applyFont="1" applyFill="1" applyBorder="1"/>
    <xf numFmtId="165" fontId="8" fillId="0" borderId="0" xfId="1" applyNumberFormat="1" applyFont="1" applyBorder="1"/>
    <xf numFmtId="0" fontId="8" fillId="2" borderId="12" xfId="0" applyFont="1" applyFill="1" applyBorder="1"/>
    <xf numFmtId="0" fontId="8" fillId="2" borderId="11" xfId="0" applyNumberFormat="1" applyFont="1" applyFill="1" applyBorder="1"/>
    <xf numFmtId="165" fontId="8" fillId="2" borderId="25" xfId="1" applyNumberFormat="1" applyFont="1" applyFill="1" applyBorder="1"/>
    <xf numFmtId="0" fontId="8" fillId="2" borderId="25" xfId="0" applyFont="1" applyFill="1" applyBorder="1"/>
    <xf numFmtId="165" fontId="8" fillId="0" borderId="31" xfId="1" applyNumberFormat="1" applyFont="1" applyBorder="1"/>
    <xf numFmtId="165" fontId="8" fillId="2" borderId="29" xfId="1" applyNumberFormat="1" applyFont="1" applyFill="1" applyBorder="1"/>
    <xf numFmtId="0" fontId="8" fillId="2" borderId="16" xfId="0" applyFont="1" applyFill="1" applyBorder="1"/>
    <xf numFmtId="0" fontId="8" fillId="2" borderId="13" xfId="0" applyNumberFormat="1" applyFont="1" applyFill="1" applyBorder="1"/>
    <xf numFmtId="165" fontId="8" fillId="2" borderId="26" xfId="1" applyNumberFormat="1" applyFont="1" applyFill="1" applyBorder="1"/>
    <xf numFmtId="0" fontId="7" fillId="2" borderId="17" xfId="0" applyNumberFormat="1" applyFont="1" applyFill="1" applyBorder="1"/>
    <xf numFmtId="166" fontId="7" fillId="2" borderId="27" xfId="2" applyNumberFormat="1" applyFont="1" applyFill="1" applyBorder="1"/>
    <xf numFmtId="0" fontId="7" fillId="0" borderId="0" xfId="0" applyNumberFormat="1" applyFont="1" applyFill="1" applyBorder="1"/>
    <xf numFmtId="0" fontId="8" fillId="2" borderId="20" xfId="0" applyNumberFormat="1" applyFont="1" applyFill="1" applyBorder="1"/>
    <xf numFmtId="0" fontId="8" fillId="2" borderId="21" xfId="1" applyNumberFormat="1" applyFont="1" applyFill="1" applyBorder="1" applyAlignment="1">
      <alignment horizontal="center" wrapText="1"/>
    </xf>
    <xf numFmtId="0" fontId="8" fillId="2" borderId="22" xfId="1" applyNumberFormat="1" applyFont="1" applyFill="1" applyBorder="1" applyAlignment="1">
      <alignment horizontal="center" wrapText="1"/>
    </xf>
    <xf numFmtId="0" fontId="8" fillId="2" borderId="21" xfId="1" applyNumberFormat="1" applyFont="1" applyFill="1" applyBorder="1" applyAlignment="1">
      <alignment horizontal="center"/>
    </xf>
    <xf numFmtId="0" fontId="8" fillId="2" borderId="23" xfId="1" applyNumberFormat="1" applyFont="1" applyFill="1" applyBorder="1" applyAlignment="1">
      <alignment horizontal="center" wrapText="1"/>
    </xf>
    <xf numFmtId="0" fontId="7" fillId="2" borderId="8" xfId="0" applyNumberFormat="1" applyFont="1" applyFill="1" applyBorder="1"/>
    <xf numFmtId="0" fontId="8" fillId="2" borderId="17" xfId="0" applyNumberFormat="1" applyFont="1" applyFill="1" applyBorder="1"/>
    <xf numFmtId="166" fontId="8" fillId="2" borderId="5" xfId="2" applyNumberFormat="1" applyFont="1" applyFill="1" applyBorder="1"/>
    <xf numFmtId="0" fontId="8" fillId="0" borderId="0" xfId="0" applyNumberFormat="1" applyFont="1" applyFill="1" applyBorder="1"/>
    <xf numFmtId="0" fontId="7" fillId="2" borderId="20" xfId="0" applyNumberFormat="1" applyFont="1" applyFill="1" applyBorder="1"/>
    <xf numFmtId="10" fontId="7" fillId="2" borderId="23" xfId="2" applyNumberFormat="1" applyFont="1" applyFill="1" applyBorder="1"/>
    <xf numFmtId="0" fontId="8" fillId="2" borderId="8" xfId="0" quotePrefix="1" applyNumberFormat="1" applyFont="1" applyFill="1" applyBorder="1"/>
    <xf numFmtId="0" fontId="8" fillId="2" borderId="17" xfId="0" quotePrefix="1" applyNumberFormat="1" applyFont="1" applyFill="1" applyBorder="1"/>
    <xf numFmtId="0" fontId="8" fillId="0" borderId="0" xfId="0" quotePrefix="1" applyNumberFormat="1" applyFont="1" applyFill="1" applyBorder="1"/>
    <xf numFmtId="0" fontId="9" fillId="2" borderId="8" xfId="0" applyNumberFormat="1" applyFont="1" applyFill="1" applyBorder="1"/>
    <xf numFmtId="165" fontId="9" fillId="0" borderId="0" xfId="1" applyNumberFormat="1" applyFont="1"/>
    <xf numFmtId="0" fontId="10" fillId="2" borderId="17" xfId="0" applyNumberFormat="1" applyFont="1" applyFill="1" applyBorder="1"/>
    <xf numFmtId="165" fontId="10" fillId="0" borderId="0" xfId="1" applyNumberFormat="1" applyFont="1"/>
    <xf numFmtId="10" fontId="8" fillId="0" borderId="0" xfId="2" applyNumberFormat="1" applyFont="1"/>
    <xf numFmtId="0" fontId="8" fillId="0" borderId="0" xfId="0" applyNumberFormat="1" applyFont="1" applyAlignment="1"/>
    <xf numFmtId="0" fontId="7" fillId="0" borderId="0" xfId="1" applyNumberFormat="1" applyFont="1"/>
    <xf numFmtId="0" fontId="8" fillId="2" borderId="8" xfId="1" applyNumberFormat="1" applyFont="1" applyFill="1" applyBorder="1"/>
    <xf numFmtId="0" fontId="8" fillId="2" borderId="28" xfId="1" applyNumberFormat="1" applyFont="1" applyFill="1" applyBorder="1"/>
    <xf numFmtId="166" fontId="8" fillId="2" borderId="30" xfId="2" applyNumberFormat="1" applyFont="1" applyFill="1" applyBorder="1"/>
    <xf numFmtId="0" fontId="8" fillId="2" borderId="13" xfId="1" applyNumberFormat="1" applyFont="1" applyFill="1" applyBorder="1"/>
    <xf numFmtId="166" fontId="8" fillId="2" borderId="26" xfId="2" applyNumberFormat="1" applyFont="1" applyFill="1" applyBorder="1"/>
    <xf numFmtId="0" fontId="7" fillId="2" borderId="17" xfId="1" applyNumberFormat="1" applyFont="1" applyFill="1" applyBorder="1"/>
    <xf numFmtId="10" fontId="7" fillId="2" borderId="7" xfId="2" applyNumberFormat="1" applyFont="1" applyFill="1" applyBorder="1"/>
    <xf numFmtId="165" fontId="7" fillId="0" borderId="9" xfId="1" applyNumberFormat="1" applyFont="1" applyFill="1" applyBorder="1"/>
    <xf numFmtId="9" fontId="8" fillId="0" borderId="18" xfId="2" applyFont="1" applyFill="1" applyBorder="1"/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 wrapText="1"/>
    </xf>
    <xf numFmtId="165" fontId="8" fillId="2" borderId="5" xfId="1" applyNumberFormat="1" applyFont="1" applyFill="1" applyBorder="1" applyAlignment="1">
      <alignment horizontal="center" wrapText="1"/>
    </xf>
    <xf numFmtId="165" fontId="8" fillId="2" borderId="3" xfId="1" applyNumberFormat="1" applyFont="1" applyFill="1" applyBorder="1" applyAlignment="1">
      <alignment horizontal="center" wrapText="1"/>
    </xf>
    <xf numFmtId="165" fontId="8" fillId="2" borderId="7" xfId="1" applyNumberFormat="1" applyFont="1" applyFill="1" applyBorder="1" applyAlignment="1">
      <alignment horizontal="center" wrapText="1"/>
    </xf>
    <xf numFmtId="0" fontId="8" fillId="2" borderId="3" xfId="1" applyNumberFormat="1" applyFont="1" applyFill="1" applyBorder="1" applyAlignment="1">
      <alignment horizontal="center" wrapText="1"/>
    </xf>
    <xf numFmtId="0" fontId="8" fillId="2" borderId="7" xfId="1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view="pageLayout" zoomScaleNormal="100" workbookViewId="0">
      <selection activeCell="H5" sqref="H5"/>
    </sheetView>
  </sheetViews>
  <sheetFormatPr defaultRowHeight="14.5" x14ac:dyDescent="0.35"/>
  <cols>
    <col min="1" max="1" width="36" customWidth="1"/>
    <col min="2" max="2" width="14.7265625" style="1" customWidth="1"/>
    <col min="3" max="3" width="13.453125" style="1" customWidth="1"/>
    <col min="4" max="4" width="11.7265625" style="1" customWidth="1"/>
    <col min="5" max="5" width="11.26953125" style="1" customWidth="1"/>
    <col min="6" max="6" width="11.54296875" style="1" customWidth="1"/>
    <col min="7" max="7" width="27.7265625" style="1" customWidth="1"/>
    <col min="8" max="8" width="17.54296875" style="1" customWidth="1"/>
    <col min="9" max="9" width="13.26953125" style="1" customWidth="1"/>
    <col min="10" max="10" width="10.1796875" style="1" customWidth="1"/>
    <col min="11" max="11" width="11.1796875" style="1" customWidth="1"/>
    <col min="12" max="12" width="2.1796875" style="1" customWidth="1"/>
    <col min="13" max="13" width="14.7265625" style="1" customWidth="1"/>
    <col min="14" max="14" width="11.7265625" style="1" bestFit="1" customWidth="1"/>
    <col min="15" max="15" width="9.81640625" style="1" customWidth="1"/>
    <col min="16" max="16" width="10.7265625" customWidth="1"/>
    <col min="17" max="17" width="1.81640625" customWidth="1"/>
  </cols>
  <sheetData>
    <row r="1" spans="1:15" x14ac:dyDescent="0.35">
      <c r="A1" s="2" t="s">
        <v>51</v>
      </c>
      <c r="B1" s="20"/>
      <c r="C1" s="20"/>
      <c r="D1" s="20"/>
      <c r="E1" s="20"/>
    </row>
    <row r="2" spans="1:15" ht="9.75" customHeight="1" x14ac:dyDescent="0.35">
      <c r="A2" s="19"/>
      <c r="B2" s="20"/>
      <c r="C2" s="20"/>
      <c r="D2" s="20"/>
      <c r="E2" s="20"/>
    </row>
    <row r="3" spans="1:15" x14ac:dyDescent="0.35">
      <c r="A3" s="21" t="s">
        <v>63</v>
      </c>
      <c r="B3" s="20"/>
      <c r="C3" s="20"/>
      <c r="D3" s="20"/>
      <c r="E3" s="20"/>
    </row>
    <row r="4" spans="1:15" x14ac:dyDescent="0.35">
      <c r="A4" s="21" t="s">
        <v>0</v>
      </c>
      <c r="B4" s="20"/>
      <c r="C4" s="20"/>
      <c r="D4" s="20"/>
      <c r="E4" s="20"/>
    </row>
    <row r="5" spans="1:15" x14ac:dyDescent="0.35">
      <c r="A5" s="21" t="s">
        <v>1</v>
      </c>
      <c r="B5" s="20"/>
      <c r="C5" s="20"/>
      <c r="D5" s="20"/>
      <c r="E5" s="20"/>
    </row>
    <row r="6" spans="1:15" ht="8.25" customHeight="1" x14ac:dyDescent="0.35">
      <c r="A6" s="21"/>
      <c r="B6" s="20"/>
      <c r="C6" s="20"/>
      <c r="D6" s="20"/>
      <c r="E6" s="20"/>
    </row>
    <row r="7" spans="1:15" s="2" customFormat="1" x14ac:dyDescent="0.35">
      <c r="A7" s="19" t="s">
        <v>38</v>
      </c>
      <c r="B7" s="22"/>
      <c r="C7" s="22"/>
      <c r="D7" s="22"/>
      <c r="E7" s="2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5">
      <c r="A8" s="21" t="s">
        <v>44</v>
      </c>
      <c r="B8" s="20"/>
      <c r="C8" s="20"/>
      <c r="D8" s="20"/>
      <c r="E8" s="20"/>
    </row>
    <row r="9" spans="1:15" x14ac:dyDescent="0.35">
      <c r="A9" s="21" t="s">
        <v>48</v>
      </c>
      <c r="B9" s="20"/>
      <c r="C9" s="20"/>
      <c r="D9" s="20"/>
      <c r="E9" s="20"/>
    </row>
    <row r="10" spans="1:15" x14ac:dyDescent="0.35">
      <c r="A10" s="23" t="s">
        <v>2</v>
      </c>
      <c r="B10" s="20"/>
      <c r="C10" s="20"/>
      <c r="D10" s="20"/>
      <c r="E10" s="20"/>
    </row>
    <row r="11" spans="1:15" x14ac:dyDescent="0.35">
      <c r="A11" s="23" t="s">
        <v>69</v>
      </c>
      <c r="B11" s="20"/>
      <c r="C11" s="20"/>
      <c r="D11" s="20"/>
      <c r="E11" s="20"/>
    </row>
    <row r="12" spans="1:15" x14ac:dyDescent="0.35">
      <c r="A12" s="23" t="s">
        <v>64</v>
      </c>
      <c r="B12" s="20"/>
      <c r="C12" s="20"/>
      <c r="D12" s="20"/>
      <c r="E12" s="20"/>
    </row>
    <row r="13" spans="1:15" x14ac:dyDescent="0.35">
      <c r="A13" s="23" t="s">
        <v>65</v>
      </c>
      <c r="B13" s="20"/>
      <c r="C13" s="20"/>
      <c r="D13" s="20"/>
      <c r="E13" s="20"/>
    </row>
    <row r="14" spans="1:15" x14ac:dyDescent="0.35">
      <c r="A14" s="23" t="s">
        <v>3</v>
      </c>
      <c r="B14" s="20"/>
      <c r="C14" s="20"/>
      <c r="D14" s="20"/>
      <c r="E14" s="20"/>
    </row>
    <row r="15" spans="1:15" ht="8.25" customHeight="1" x14ac:dyDescent="0.35">
      <c r="A15" s="23"/>
      <c r="B15" s="20"/>
      <c r="C15" s="20"/>
      <c r="D15" s="20"/>
      <c r="E15" s="20"/>
    </row>
    <row r="16" spans="1:15" s="1" customFormat="1" x14ac:dyDescent="0.35">
      <c r="A16" s="24" t="s">
        <v>42</v>
      </c>
      <c r="B16" s="20"/>
      <c r="C16" s="20"/>
      <c r="D16" s="20"/>
      <c r="E16" s="20"/>
    </row>
    <row r="17" spans="1:8" s="1" customFormat="1" x14ac:dyDescent="0.35">
      <c r="A17" s="21" t="s">
        <v>35</v>
      </c>
      <c r="B17" s="20"/>
      <c r="C17" s="20"/>
      <c r="D17" s="20"/>
      <c r="E17" s="20"/>
    </row>
    <row r="18" spans="1:8" s="1" customFormat="1" x14ac:dyDescent="0.35">
      <c r="A18" s="21" t="s">
        <v>75</v>
      </c>
      <c r="B18" s="20"/>
      <c r="C18" s="20"/>
      <c r="D18" s="20"/>
      <c r="E18" s="20"/>
    </row>
    <row r="19" spans="1:8" s="1" customFormat="1" x14ac:dyDescent="0.35">
      <c r="A19" s="21" t="s">
        <v>4</v>
      </c>
      <c r="B19" s="20"/>
      <c r="C19" s="20"/>
      <c r="D19" s="20"/>
      <c r="E19" s="20"/>
    </row>
    <row r="20" spans="1:8" s="1" customFormat="1" x14ac:dyDescent="0.35">
      <c r="A20" s="21" t="s">
        <v>66</v>
      </c>
      <c r="B20" s="20"/>
      <c r="C20" s="20"/>
      <c r="D20" s="20"/>
      <c r="E20" s="20"/>
    </row>
    <row r="21" spans="1:8" s="1" customFormat="1" x14ac:dyDescent="0.35">
      <c r="A21" s="21" t="s">
        <v>67</v>
      </c>
      <c r="B21" s="20"/>
      <c r="C21" s="20"/>
      <c r="D21" s="20"/>
      <c r="E21" s="20"/>
    </row>
    <row r="22" spans="1:8" s="1" customFormat="1" x14ac:dyDescent="0.35">
      <c r="A22" s="21" t="s">
        <v>68</v>
      </c>
      <c r="B22" s="20"/>
      <c r="C22" s="20"/>
      <c r="D22" s="20"/>
      <c r="E22" s="20"/>
    </row>
    <row r="23" spans="1:8" ht="7.5" customHeight="1" x14ac:dyDescent="0.35">
      <c r="A23" s="21"/>
      <c r="B23" s="20"/>
      <c r="C23" s="20"/>
      <c r="D23" s="20"/>
      <c r="E23" s="20"/>
    </row>
    <row r="24" spans="1:8" s="1" customFormat="1" x14ac:dyDescent="0.35">
      <c r="A24" s="21" t="s">
        <v>5</v>
      </c>
      <c r="B24" s="20"/>
      <c r="C24" s="20"/>
      <c r="D24" s="20"/>
      <c r="E24" s="20"/>
    </row>
    <row r="25" spans="1:8" s="1" customFormat="1" x14ac:dyDescent="0.35">
      <c r="A25" s="21" t="s">
        <v>43</v>
      </c>
      <c r="B25" s="20"/>
      <c r="C25" s="20"/>
      <c r="D25" s="20"/>
      <c r="E25" s="20"/>
    </row>
    <row r="26" spans="1:8" ht="7.5" customHeight="1" x14ac:dyDescent="0.35">
      <c r="A26" s="21"/>
      <c r="B26" s="20"/>
      <c r="C26" s="20"/>
      <c r="D26" s="20"/>
      <c r="E26" s="20"/>
    </row>
    <row r="27" spans="1:8" s="1" customFormat="1" ht="15" thickBot="1" x14ac:dyDescent="0.4">
      <c r="A27" s="25" t="s">
        <v>6</v>
      </c>
      <c r="B27" s="26"/>
      <c r="C27" s="26"/>
      <c r="D27" s="26"/>
      <c r="E27" s="26"/>
      <c r="G27" s="14"/>
      <c r="H27" s="6"/>
    </row>
    <row r="28" spans="1:8" s="1" customFormat="1" x14ac:dyDescent="0.35">
      <c r="A28" s="139"/>
      <c r="B28" s="141" t="s">
        <v>7</v>
      </c>
      <c r="C28" s="141" t="s">
        <v>8</v>
      </c>
      <c r="D28" s="27" t="s">
        <v>9</v>
      </c>
      <c r="E28" s="143" t="s">
        <v>10</v>
      </c>
      <c r="G28" s="6"/>
      <c r="H28" s="6"/>
    </row>
    <row r="29" spans="1:8" s="1" customFormat="1" ht="26.25" customHeight="1" thickBot="1" x14ac:dyDescent="0.4">
      <c r="A29" s="140"/>
      <c r="B29" s="142"/>
      <c r="C29" s="142"/>
      <c r="D29" s="28" t="s">
        <v>11</v>
      </c>
      <c r="E29" s="144"/>
      <c r="G29" s="15"/>
      <c r="H29" s="16"/>
    </row>
    <row r="30" spans="1:8" s="1" customFormat="1" x14ac:dyDescent="0.35">
      <c r="A30" s="29" t="s">
        <v>49</v>
      </c>
      <c r="B30" s="30">
        <v>0</v>
      </c>
      <c r="C30" s="31">
        <v>0</v>
      </c>
      <c r="D30" s="32">
        <f>C30-B30</f>
        <v>0</v>
      </c>
      <c r="E30" s="33"/>
      <c r="G30" s="15"/>
      <c r="H30" s="16"/>
    </row>
    <row r="31" spans="1:8" s="1" customFormat="1" x14ac:dyDescent="0.35">
      <c r="A31" s="34" t="s">
        <v>76</v>
      </c>
      <c r="B31" s="35">
        <f>+B30*0.06</f>
        <v>0</v>
      </c>
      <c r="C31" s="36">
        <f>B31</f>
        <v>0</v>
      </c>
      <c r="D31" s="35"/>
      <c r="E31" s="37"/>
      <c r="G31" s="14"/>
      <c r="H31" s="17"/>
    </row>
    <row r="32" spans="1:8" s="1" customFormat="1" x14ac:dyDescent="0.35">
      <c r="A32" s="34" t="s">
        <v>12</v>
      </c>
      <c r="B32" s="38">
        <v>0</v>
      </c>
      <c r="C32" s="36">
        <f>B32</f>
        <v>0</v>
      </c>
      <c r="D32" s="35"/>
      <c r="E32" s="37"/>
    </row>
    <row r="33" spans="1:5" s="1" customFormat="1" x14ac:dyDescent="0.35">
      <c r="A33" s="39" t="s">
        <v>70</v>
      </c>
      <c r="B33" s="40">
        <v>0</v>
      </c>
      <c r="C33" s="41">
        <v>0</v>
      </c>
      <c r="D33" s="42"/>
      <c r="E33" s="43"/>
    </row>
    <row r="34" spans="1:5" s="1" customFormat="1" x14ac:dyDescent="0.35">
      <c r="A34" s="34" t="s">
        <v>13</v>
      </c>
      <c r="B34" s="35">
        <f>SUM(B30:B33)</f>
        <v>0</v>
      </c>
      <c r="C34" s="36">
        <f>SUM(C30:C33)</f>
        <v>0</v>
      </c>
      <c r="D34" s="35">
        <f>C34-B34</f>
        <v>0</v>
      </c>
      <c r="E34" s="44"/>
    </row>
    <row r="35" spans="1:5" s="1" customFormat="1" x14ac:dyDescent="0.35">
      <c r="A35" s="39" t="s">
        <v>14</v>
      </c>
      <c r="B35" s="45">
        <v>0</v>
      </c>
      <c r="C35" s="46">
        <f>B35</f>
        <v>0</v>
      </c>
      <c r="D35" s="42"/>
      <c r="E35" s="43"/>
    </row>
    <row r="36" spans="1:5" s="1" customFormat="1" ht="15" thickBot="1" x14ac:dyDescent="0.4">
      <c r="A36" s="47" t="s">
        <v>15</v>
      </c>
      <c r="B36" s="48">
        <f>SUM(B34:B35)</f>
        <v>0</v>
      </c>
      <c r="C36" s="49">
        <f>SUM(C34:C35)</f>
        <v>0</v>
      </c>
      <c r="D36" s="48">
        <f>C36-B36</f>
        <v>0</v>
      </c>
      <c r="E36" s="50">
        <f>IF(D36=0,0,D36/B36)</f>
        <v>0</v>
      </c>
    </row>
    <row r="37" spans="1:5" ht="17.25" customHeight="1" x14ac:dyDescent="0.35">
      <c r="A37" s="18" t="s">
        <v>50</v>
      </c>
    </row>
    <row r="38" spans="1:5" s="1" customFormat="1" ht="15" thickBot="1" x14ac:dyDescent="0.4">
      <c r="A38" s="51" t="s">
        <v>59</v>
      </c>
      <c r="B38" s="20"/>
      <c r="C38" s="20"/>
      <c r="D38" s="52" t="s">
        <v>16</v>
      </c>
      <c r="E38" s="53">
        <v>0.2</v>
      </c>
    </row>
    <row r="39" spans="1:5" s="1" customFormat="1" ht="27" thickBot="1" x14ac:dyDescent="0.4">
      <c r="A39" s="54"/>
      <c r="B39" s="55" t="s">
        <v>7</v>
      </c>
      <c r="C39" s="56" t="s">
        <v>8</v>
      </c>
      <c r="D39" s="57" t="s">
        <v>17</v>
      </c>
      <c r="E39" s="58" t="s">
        <v>10</v>
      </c>
    </row>
    <row r="40" spans="1:5" s="1" customFormat="1" x14ac:dyDescent="0.35">
      <c r="A40" s="59" t="s">
        <v>18</v>
      </c>
      <c r="B40" s="60">
        <f>-$B$36*E38</f>
        <v>0</v>
      </c>
      <c r="C40" s="137"/>
      <c r="D40" s="60">
        <f>C40-B40</f>
        <v>0</v>
      </c>
      <c r="E40" s="61">
        <f>IF(D40=0,0,-D40/B40)</f>
        <v>0</v>
      </c>
    </row>
    <row r="41" spans="1:5" s="1" customFormat="1" x14ac:dyDescent="0.35">
      <c r="A41" s="34" t="s">
        <v>19</v>
      </c>
      <c r="B41" s="62">
        <v>0</v>
      </c>
      <c r="C41" s="36"/>
      <c r="D41" s="35"/>
      <c r="E41" s="37"/>
    </row>
    <row r="42" spans="1:5" s="1" customFormat="1" ht="15" thickBot="1" x14ac:dyDescent="0.4">
      <c r="A42" s="63" t="s">
        <v>20</v>
      </c>
      <c r="B42" s="64">
        <v>0</v>
      </c>
      <c r="C42" s="138"/>
      <c r="D42" s="66"/>
      <c r="E42" s="67"/>
    </row>
    <row r="43" spans="1:5" s="1" customFormat="1" ht="15" thickBot="1" x14ac:dyDescent="0.4">
      <c r="A43" s="54" t="s">
        <v>21</v>
      </c>
      <c r="B43" s="68">
        <f>-IF(B40=0,0,B40/(B41*B42))</f>
        <v>0</v>
      </c>
      <c r="C43" s="69"/>
      <c r="D43" s="70"/>
      <c r="E43" s="70"/>
    </row>
    <row r="44" spans="1:5" s="1" customFormat="1" ht="6.75" customHeight="1" x14ac:dyDescent="0.35">
      <c r="A44" s="71"/>
      <c r="B44" s="72"/>
      <c r="C44" s="72"/>
      <c r="D44" s="70"/>
      <c r="E44" s="20"/>
    </row>
    <row r="45" spans="1:5" s="1" customFormat="1" ht="15" thickBot="1" x14ac:dyDescent="0.4">
      <c r="A45" s="51" t="s">
        <v>60</v>
      </c>
      <c r="B45" s="20"/>
      <c r="C45" s="20"/>
      <c r="D45" s="52" t="s">
        <v>16</v>
      </c>
      <c r="E45" s="53">
        <v>0.3</v>
      </c>
    </row>
    <row r="46" spans="1:5" s="1" customFormat="1" ht="27" thickBot="1" x14ac:dyDescent="0.4">
      <c r="A46" s="54"/>
      <c r="B46" s="55" t="s">
        <v>7</v>
      </c>
      <c r="C46" s="56" t="s">
        <v>8</v>
      </c>
      <c r="D46" s="57" t="s">
        <v>17</v>
      </c>
      <c r="E46" s="58" t="s">
        <v>10</v>
      </c>
    </row>
    <row r="47" spans="1:5" s="1" customFormat="1" x14ac:dyDescent="0.35">
      <c r="A47" s="59" t="s">
        <v>18</v>
      </c>
      <c r="B47" s="60">
        <f>-$B$36*E45</f>
        <v>0</v>
      </c>
      <c r="C47" s="137"/>
      <c r="D47" s="60">
        <f>C47-B47</f>
        <v>0</v>
      </c>
      <c r="E47" s="61">
        <f>IF(D47=0,0,-D47/B47)</f>
        <v>0</v>
      </c>
    </row>
    <row r="48" spans="1:5" s="1" customFormat="1" x14ac:dyDescent="0.35">
      <c r="A48" s="34" t="s">
        <v>19</v>
      </c>
      <c r="B48" s="62">
        <v>0</v>
      </c>
      <c r="C48" s="36"/>
      <c r="D48" s="35"/>
      <c r="E48" s="37"/>
    </row>
    <row r="49" spans="1:5" s="1" customFormat="1" ht="15" thickBot="1" x14ac:dyDescent="0.4">
      <c r="A49" s="63" t="s">
        <v>20</v>
      </c>
      <c r="B49" s="64">
        <v>0</v>
      </c>
      <c r="C49" s="138"/>
      <c r="D49" s="66"/>
      <c r="E49" s="67"/>
    </row>
    <row r="50" spans="1:5" s="1" customFormat="1" ht="15" thickBot="1" x14ac:dyDescent="0.4">
      <c r="A50" s="54" t="s">
        <v>21</v>
      </c>
      <c r="B50" s="68">
        <f>-IF(B47=0,0,B47/(B48*B49))</f>
        <v>0</v>
      </c>
      <c r="C50" s="69"/>
      <c r="D50" s="70"/>
      <c r="E50" s="70"/>
    </row>
    <row r="51" spans="1:5" s="1" customFormat="1" ht="6.75" customHeight="1" x14ac:dyDescent="0.35">
      <c r="A51" s="71"/>
      <c r="B51" s="70"/>
      <c r="C51" s="69"/>
      <c r="D51" s="70"/>
      <c r="E51" s="70"/>
    </row>
    <row r="52" spans="1:5" s="1" customFormat="1" ht="15" thickBot="1" x14ac:dyDescent="0.4">
      <c r="A52" s="51" t="s">
        <v>61</v>
      </c>
      <c r="B52" s="20"/>
      <c r="C52" s="20"/>
      <c r="D52" s="52" t="s">
        <v>16</v>
      </c>
      <c r="E52" s="53">
        <v>0.2</v>
      </c>
    </row>
    <row r="53" spans="1:5" s="1" customFormat="1" ht="27" thickBot="1" x14ac:dyDescent="0.4">
      <c r="A53" s="54"/>
      <c r="B53" s="55" t="s">
        <v>7</v>
      </c>
      <c r="C53" s="56" t="s">
        <v>8</v>
      </c>
      <c r="D53" s="57" t="s">
        <v>17</v>
      </c>
      <c r="E53" s="58" t="s">
        <v>10</v>
      </c>
    </row>
    <row r="54" spans="1:5" s="1" customFormat="1" x14ac:dyDescent="0.35">
      <c r="A54" s="59" t="s">
        <v>18</v>
      </c>
      <c r="B54" s="60">
        <f>-$B$36*E52</f>
        <v>0</v>
      </c>
      <c r="C54" s="137"/>
      <c r="D54" s="60">
        <f>C54-B54</f>
        <v>0</v>
      </c>
      <c r="E54" s="61">
        <f>IF(D54=0,0,-D54/B54)</f>
        <v>0</v>
      </c>
    </row>
    <row r="55" spans="1:5" s="1" customFormat="1" x14ac:dyDescent="0.35">
      <c r="A55" s="34" t="s">
        <v>19</v>
      </c>
      <c r="B55" s="62">
        <v>0</v>
      </c>
      <c r="C55" s="36"/>
      <c r="D55" s="35"/>
      <c r="E55" s="37"/>
    </row>
    <row r="56" spans="1:5" s="1" customFormat="1" ht="15" thickBot="1" x14ac:dyDescent="0.4">
      <c r="A56" s="63" t="s">
        <v>20</v>
      </c>
      <c r="B56" s="64">
        <v>0</v>
      </c>
      <c r="C56" s="138"/>
      <c r="D56" s="66"/>
      <c r="E56" s="67"/>
    </row>
    <row r="57" spans="1:5" s="1" customFormat="1" ht="15" thickBot="1" x14ac:dyDescent="0.4">
      <c r="A57" s="54" t="s">
        <v>21</v>
      </c>
      <c r="B57" s="68">
        <f>-IF(B54=0,0,B54/(B55*B56))</f>
        <v>0</v>
      </c>
      <c r="C57" s="69"/>
      <c r="D57" s="70"/>
      <c r="E57" s="70"/>
    </row>
    <row r="58" spans="1:5" s="1" customFormat="1" ht="7.5" customHeight="1" x14ac:dyDescent="0.35">
      <c r="A58" s="71"/>
      <c r="B58" s="70"/>
      <c r="C58" s="69"/>
      <c r="D58" s="70"/>
      <c r="E58" s="70"/>
    </row>
    <row r="59" spans="1:5" s="1" customFormat="1" ht="15" thickBot="1" x14ac:dyDescent="0.4">
      <c r="A59" s="51" t="s">
        <v>59</v>
      </c>
      <c r="B59" s="20"/>
      <c r="C59" s="20"/>
      <c r="D59" s="52" t="s">
        <v>16</v>
      </c>
      <c r="E59" s="53">
        <v>0.3</v>
      </c>
    </row>
    <row r="60" spans="1:5" s="1" customFormat="1" ht="27" thickBot="1" x14ac:dyDescent="0.4">
      <c r="A60" s="54"/>
      <c r="B60" s="55" t="s">
        <v>7</v>
      </c>
      <c r="C60" s="56" t="s">
        <v>8</v>
      </c>
      <c r="D60" s="57" t="s">
        <v>17</v>
      </c>
      <c r="E60" s="58" t="s">
        <v>10</v>
      </c>
    </row>
    <row r="61" spans="1:5" s="1" customFormat="1" x14ac:dyDescent="0.35">
      <c r="A61" s="59" t="s">
        <v>18</v>
      </c>
      <c r="B61" s="60">
        <f>-$B$36*E59</f>
        <v>0</v>
      </c>
      <c r="C61" s="137"/>
      <c r="D61" s="60">
        <f>C61-B61</f>
        <v>0</v>
      </c>
      <c r="E61" s="61">
        <f>IF(D61=0,0,-D61/B61)</f>
        <v>0</v>
      </c>
    </row>
    <row r="62" spans="1:5" s="1" customFormat="1" x14ac:dyDescent="0.35">
      <c r="A62" s="34" t="s">
        <v>19</v>
      </c>
      <c r="B62" s="62">
        <v>0</v>
      </c>
      <c r="C62" s="36"/>
      <c r="D62" s="35"/>
      <c r="E62" s="37"/>
    </row>
    <row r="63" spans="1:5" s="1" customFormat="1" ht="15" thickBot="1" x14ac:dyDescent="0.4">
      <c r="A63" s="63" t="s">
        <v>20</v>
      </c>
      <c r="B63" s="64">
        <v>0</v>
      </c>
      <c r="C63" s="138"/>
      <c r="D63" s="66"/>
      <c r="E63" s="67"/>
    </row>
    <row r="64" spans="1:5" s="1" customFormat="1" ht="15" thickBot="1" x14ac:dyDescent="0.4">
      <c r="A64" s="54" t="s">
        <v>21</v>
      </c>
      <c r="B64" s="68">
        <f>-IF(B61=0,0,B61/(B62*B63))</f>
        <v>0</v>
      </c>
      <c r="C64" s="69"/>
      <c r="D64" s="70"/>
      <c r="E64" s="70"/>
    </row>
    <row r="65" spans="1:5" s="1" customFormat="1" ht="7.5" customHeight="1" thickBot="1" x14ac:dyDescent="0.4">
      <c r="A65" s="71"/>
      <c r="B65" s="70"/>
      <c r="C65" s="69"/>
      <c r="D65" s="70"/>
      <c r="E65" s="70"/>
    </row>
    <row r="66" spans="1:5" s="1" customFormat="1" ht="15" thickBot="1" x14ac:dyDescent="0.4">
      <c r="A66" s="73" t="s">
        <v>22</v>
      </c>
      <c r="B66" s="74"/>
      <c r="C66" s="75"/>
      <c r="D66" s="74">
        <f>SUM(D40,D47,D54,D61)</f>
        <v>0</v>
      </c>
      <c r="E66" s="76">
        <f>IF(D66=0,0,D66/B36)</f>
        <v>0</v>
      </c>
    </row>
    <row r="67" spans="1:5" s="1" customFormat="1" ht="6" customHeight="1" thickBot="1" x14ac:dyDescent="0.4">
      <c r="A67" s="71"/>
      <c r="B67" s="70"/>
      <c r="C67" s="69"/>
      <c r="D67" s="70"/>
      <c r="E67" s="70"/>
    </row>
    <row r="68" spans="1:5" s="1" customFormat="1" ht="15" thickBot="1" x14ac:dyDescent="0.4">
      <c r="A68" s="73" t="s">
        <v>23</v>
      </c>
      <c r="B68" s="74"/>
      <c r="C68" s="74"/>
      <c r="D68" s="74">
        <f>SUM(D36,D66)</f>
        <v>0</v>
      </c>
      <c r="E68" s="76">
        <f>IF(D68=0,0,D68/B36)</f>
        <v>0</v>
      </c>
    </row>
    <row r="69" spans="1:5" s="1" customFormat="1" ht="6" customHeight="1" thickBot="1" x14ac:dyDescent="0.4">
      <c r="A69" s="71"/>
      <c r="B69" s="70"/>
      <c r="C69" s="70"/>
      <c r="D69" s="70"/>
      <c r="E69" s="69"/>
    </row>
    <row r="70" spans="1:5" s="1" customFormat="1" x14ac:dyDescent="0.35">
      <c r="A70" s="77" t="s">
        <v>24</v>
      </c>
      <c r="B70" s="78">
        <f>B36*0.05</f>
        <v>0</v>
      </c>
      <c r="C70" s="70"/>
      <c r="D70" s="70"/>
      <c r="E70" s="20"/>
    </row>
    <row r="71" spans="1:5" s="1" customFormat="1" ht="15" thickBot="1" x14ac:dyDescent="0.4">
      <c r="A71" s="79" t="s">
        <v>32</v>
      </c>
      <c r="B71" s="80">
        <f>B36*-0.05</f>
        <v>0</v>
      </c>
      <c r="C71" s="70"/>
      <c r="D71" s="70"/>
      <c r="E71" s="20"/>
    </row>
    <row r="72" spans="1:5" s="1" customFormat="1" ht="15" thickBot="1" x14ac:dyDescent="0.4">
      <c r="A72" s="81"/>
      <c r="B72" s="70"/>
      <c r="C72" s="70"/>
      <c r="D72" s="70"/>
      <c r="E72" s="20"/>
    </row>
    <row r="73" spans="1:5" s="1" customFormat="1" x14ac:dyDescent="0.35">
      <c r="A73" s="82" t="s">
        <v>25</v>
      </c>
      <c r="B73" s="83"/>
      <c r="C73" s="83"/>
      <c r="D73" s="83">
        <f>IF(D68&lt;B71,D68-B71,IF(D68&lt;B70,0,IF(D68&gt;0,D68-B70,IF(D68&gt;B71,0,D68-B71))))</f>
        <v>0</v>
      </c>
      <c r="E73" s="84">
        <f>IF(D73=0,0,D73/B36)</f>
        <v>0</v>
      </c>
    </row>
    <row r="74" spans="1:5" s="1" customFormat="1" ht="15" thickBot="1" x14ac:dyDescent="0.4">
      <c r="A74" s="85" t="s">
        <v>26</v>
      </c>
      <c r="B74" s="86"/>
      <c r="C74" s="86"/>
      <c r="D74" s="86">
        <f>D68-D73</f>
        <v>0</v>
      </c>
      <c r="E74" s="87">
        <f>IF(D74=0,0,D74/B36)</f>
        <v>0</v>
      </c>
    </row>
    <row r="75" spans="1:5" s="1" customFormat="1" x14ac:dyDescent="0.35">
      <c r="A75" s="7"/>
    </row>
  </sheetData>
  <mergeCells count="4">
    <mergeCell ref="A28:A29"/>
    <mergeCell ref="B28:B29"/>
    <mergeCell ref="C28:C29"/>
    <mergeCell ref="E28:E29"/>
  </mergeCells>
  <pageMargins left="0.51645833333333335" right="0.7" top="0.75" bottom="0.75" header="0.3" footer="0.3"/>
  <pageSetup paperSize="9" scale="62" orientation="portrait" r:id="rId1"/>
  <headerFooter>
    <oddHeader>&amp;L&amp;"-,Fed"&amp;14Bilag 3: Eksempel på model til beregning af takster samt efterregulering af over-/underskud
og belægningsprocent ved anvendelse af flere takstniveauer
&amp;R&amp;"-,Fed"&amp;12KKR Hovedstaden
Rammeaftale 2023-2024
Styringsdelen</oddHeader>
    <oddFooter>&amp;LBilag 3: Model til beregning af efterregulering af over-/underskud og belægningsprocent ved anvendelse af flere takstniveauer&amp;RSide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view="pageLayout" topLeftCell="H1" zoomScaleNormal="100" workbookViewId="0"/>
  </sheetViews>
  <sheetFormatPr defaultRowHeight="14.5" x14ac:dyDescent="0.35"/>
  <cols>
    <col min="1" max="1" width="36" style="4" customWidth="1"/>
    <col min="2" max="2" width="14.7265625" style="1" customWidth="1"/>
    <col min="3" max="3" width="13.453125" style="1" customWidth="1"/>
    <col min="4" max="4" width="10" style="1" customWidth="1"/>
    <col min="5" max="5" width="11.26953125" style="1" customWidth="1"/>
    <col min="6" max="6" width="2.7265625" style="1" customWidth="1"/>
    <col min="7" max="7" width="36" style="8" customWidth="1"/>
    <col min="8" max="8" width="14.81640625" style="1" customWidth="1"/>
    <col min="9" max="9" width="13.26953125" style="1" customWidth="1"/>
    <col min="10" max="10" width="10.1796875" style="1" customWidth="1"/>
    <col min="11" max="11" width="11.1796875" style="1" customWidth="1"/>
    <col min="12" max="12" width="2.1796875" style="1" customWidth="1"/>
    <col min="13" max="13" width="35.54296875" style="1" customWidth="1"/>
    <col min="14" max="14" width="14.7265625" style="1" customWidth="1"/>
    <col min="15" max="15" width="13.26953125" style="1" bestFit="1" customWidth="1"/>
    <col min="16" max="16" width="9.81640625" style="1" customWidth="1"/>
    <col min="17" max="17" width="10.7265625" customWidth="1"/>
    <col min="18" max="18" width="1.81640625" customWidth="1"/>
  </cols>
  <sheetData>
    <row r="1" spans="1:17" x14ac:dyDescent="0.35">
      <c r="A1" s="5" t="s">
        <v>52</v>
      </c>
      <c r="B1" s="20"/>
      <c r="C1" s="20"/>
      <c r="D1" s="20"/>
      <c r="E1" s="20"/>
      <c r="F1" s="20"/>
      <c r="G1" s="88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8.25" customHeight="1" x14ac:dyDescent="0.35">
      <c r="A2" s="23"/>
      <c r="B2" s="20"/>
      <c r="C2" s="20"/>
      <c r="D2" s="20"/>
      <c r="E2" s="20"/>
      <c r="F2" s="20"/>
      <c r="G2" s="88"/>
      <c r="H2" s="89"/>
      <c r="I2" s="20"/>
      <c r="J2" s="20"/>
      <c r="K2" s="20"/>
      <c r="L2" s="20"/>
      <c r="M2" s="20"/>
      <c r="N2" s="89"/>
      <c r="O2" s="20"/>
      <c r="P2" s="20"/>
      <c r="Q2" s="21"/>
    </row>
    <row r="3" spans="1:17" ht="15" thickBot="1" x14ac:dyDescent="0.4">
      <c r="A3" s="90" t="s">
        <v>71</v>
      </c>
      <c r="B3" s="26"/>
      <c r="C3" s="26"/>
      <c r="D3" s="26"/>
      <c r="E3" s="26"/>
      <c r="F3" s="20"/>
      <c r="G3" s="90" t="s">
        <v>72</v>
      </c>
      <c r="H3" s="26"/>
      <c r="I3" s="26"/>
      <c r="J3" s="26"/>
      <c r="K3" s="26"/>
      <c r="L3" s="20"/>
      <c r="M3" s="88" t="s">
        <v>73</v>
      </c>
      <c r="N3" s="26"/>
      <c r="O3" s="26"/>
      <c r="P3" s="26"/>
      <c r="Q3" s="26"/>
    </row>
    <row r="4" spans="1:17" s="4" customFormat="1" ht="18.75" customHeight="1" x14ac:dyDescent="0.35">
      <c r="A4" s="147"/>
      <c r="B4" s="149" t="s">
        <v>7</v>
      </c>
      <c r="C4" s="149" t="s">
        <v>8</v>
      </c>
      <c r="D4" s="91" t="s">
        <v>9</v>
      </c>
      <c r="E4" s="145" t="s">
        <v>10</v>
      </c>
      <c r="F4" s="88"/>
      <c r="G4" s="147"/>
      <c r="H4" s="149" t="s">
        <v>7</v>
      </c>
      <c r="I4" s="149" t="s">
        <v>8</v>
      </c>
      <c r="J4" s="91" t="s">
        <v>9</v>
      </c>
      <c r="K4" s="145" t="s">
        <v>10</v>
      </c>
      <c r="L4" s="88"/>
      <c r="M4" s="147"/>
      <c r="N4" s="149" t="s">
        <v>7</v>
      </c>
      <c r="O4" s="149" t="s">
        <v>8</v>
      </c>
      <c r="P4" s="91" t="s">
        <v>9</v>
      </c>
      <c r="Q4" s="145" t="s">
        <v>10</v>
      </c>
    </row>
    <row r="5" spans="1:17" s="4" customFormat="1" ht="41.25" customHeight="1" thickBot="1" x14ac:dyDescent="0.4">
      <c r="A5" s="148"/>
      <c r="B5" s="150"/>
      <c r="C5" s="150"/>
      <c r="D5" s="92" t="s">
        <v>27</v>
      </c>
      <c r="E5" s="146"/>
      <c r="F5" s="88"/>
      <c r="G5" s="148"/>
      <c r="H5" s="150"/>
      <c r="I5" s="150"/>
      <c r="J5" s="92" t="s">
        <v>27</v>
      </c>
      <c r="K5" s="146"/>
      <c r="L5" s="88"/>
      <c r="M5" s="148"/>
      <c r="N5" s="150"/>
      <c r="O5" s="150"/>
      <c r="P5" s="92" t="s">
        <v>27</v>
      </c>
      <c r="Q5" s="146"/>
    </row>
    <row r="6" spans="1:17" x14ac:dyDescent="0.35">
      <c r="A6" s="93" t="s">
        <v>49</v>
      </c>
      <c r="B6" s="30">
        <v>7000000</v>
      </c>
      <c r="C6" s="31">
        <v>7700000</v>
      </c>
      <c r="D6" s="32">
        <f>C6-B6</f>
        <v>700000</v>
      </c>
      <c r="E6" s="33"/>
      <c r="F6" s="20"/>
      <c r="G6" s="93" t="s">
        <v>49</v>
      </c>
      <c r="H6" s="30">
        <v>7140000</v>
      </c>
      <c r="I6" s="30">
        <v>6700000</v>
      </c>
      <c r="J6" s="94">
        <f>I6-H6</f>
        <v>-440000</v>
      </c>
      <c r="K6" s="95"/>
      <c r="L6" s="20"/>
      <c r="M6" s="93" t="s">
        <v>49</v>
      </c>
      <c r="N6" s="38">
        <v>7280000</v>
      </c>
      <c r="O6" s="96">
        <v>7280000</v>
      </c>
      <c r="P6" s="32">
        <f t="shared" ref="P6" si="0">O6-N6</f>
        <v>0</v>
      </c>
      <c r="Q6" s="97"/>
    </row>
    <row r="7" spans="1:17" x14ac:dyDescent="0.35">
      <c r="A7" s="98" t="s">
        <v>77</v>
      </c>
      <c r="B7" s="35">
        <f>+B6*0.06</f>
        <v>420000</v>
      </c>
      <c r="C7" s="36">
        <f>B7</f>
        <v>420000</v>
      </c>
      <c r="D7" s="35"/>
      <c r="E7" s="37"/>
      <c r="F7" s="20"/>
      <c r="G7" s="98" t="s">
        <v>77</v>
      </c>
      <c r="H7" s="35">
        <f>H6*0.06</f>
        <v>428400</v>
      </c>
      <c r="I7" s="35">
        <f>H7</f>
        <v>428400</v>
      </c>
      <c r="J7" s="36"/>
      <c r="K7" s="99"/>
      <c r="L7" s="20"/>
      <c r="M7" s="98" t="s">
        <v>77</v>
      </c>
      <c r="N7" s="35">
        <f>N6*0.06</f>
        <v>436800</v>
      </c>
      <c r="O7" s="36">
        <f>N7</f>
        <v>436800</v>
      </c>
      <c r="P7" s="35"/>
      <c r="Q7" s="97"/>
    </row>
    <row r="8" spans="1:17" x14ac:dyDescent="0.35">
      <c r="A8" s="98" t="s">
        <v>12</v>
      </c>
      <c r="B8" s="38">
        <v>20000</v>
      </c>
      <c r="C8" s="36">
        <f>B8</f>
        <v>20000</v>
      </c>
      <c r="D8" s="35"/>
      <c r="E8" s="37"/>
      <c r="F8" s="20"/>
      <c r="G8" s="98" t="s">
        <v>12</v>
      </c>
      <c r="H8" s="38">
        <v>20000</v>
      </c>
      <c r="I8" s="35">
        <f>H8</f>
        <v>20000</v>
      </c>
      <c r="J8" s="36"/>
      <c r="K8" s="99"/>
      <c r="L8" s="96"/>
      <c r="M8" s="98" t="s">
        <v>12</v>
      </c>
      <c r="N8" s="38">
        <v>20000</v>
      </c>
      <c r="O8" s="36">
        <f>N8</f>
        <v>20000</v>
      </c>
      <c r="P8" s="35"/>
      <c r="Q8" s="100"/>
    </row>
    <row r="9" spans="1:17" x14ac:dyDescent="0.35">
      <c r="A9" s="39" t="s">
        <v>70</v>
      </c>
      <c r="B9" s="101">
        <v>-150000</v>
      </c>
      <c r="C9" s="45">
        <v>-155000</v>
      </c>
      <c r="D9" s="102">
        <f>C9-B9</f>
        <v>-5000</v>
      </c>
      <c r="E9" s="43"/>
      <c r="F9" s="20"/>
      <c r="G9" s="39" t="s">
        <v>70</v>
      </c>
      <c r="H9" s="101">
        <v>-150000</v>
      </c>
      <c r="I9" s="45">
        <v>-150000</v>
      </c>
      <c r="J9" s="102">
        <f>I9-H9</f>
        <v>0</v>
      </c>
      <c r="K9" s="43"/>
      <c r="L9" s="96"/>
      <c r="M9" s="39" t="s">
        <v>70</v>
      </c>
      <c r="N9" s="101">
        <v>-150000</v>
      </c>
      <c r="O9" s="45">
        <v>-150000</v>
      </c>
      <c r="P9" s="102">
        <f>O9-N9</f>
        <v>0</v>
      </c>
      <c r="Q9" s="103"/>
    </row>
    <row r="10" spans="1:17" x14ac:dyDescent="0.35">
      <c r="A10" s="98" t="s">
        <v>13</v>
      </c>
      <c r="B10" s="35">
        <f>SUM(B6:B9)</f>
        <v>7290000</v>
      </c>
      <c r="C10" s="35">
        <f>SUM(C6:C9)</f>
        <v>7985000</v>
      </c>
      <c r="D10" s="35">
        <f>C10-B10</f>
        <v>695000</v>
      </c>
      <c r="E10" s="44"/>
      <c r="F10" s="20"/>
      <c r="G10" s="98" t="s">
        <v>13</v>
      </c>
      <c r="H10" s="35">
        <f>SUM(H6:H9)</f>
        <v>7438400</v>
      </c>
      <c r="I10" s="35">
        <f>SUM(I6:I9)</f>
        <v>6998400</v>
      </c>
      <c r="J10" s="36">
        <f>I10-H10</f>
        <v>-440000</v>
      </c>
      <c r="K10" s="99"/>
      <c r="L10" s="20"/>
      <c r="M10" s="98" t="s">
        <v>13</v>
      </c>
      <c r="N10" s="35">
        <f>SUM(N6:N9)</f>
        <v>7586800</v>
      </c>
      <c r="O10" s="35">
        <f>SUM(O6:O9)</f>
        <v>7586800</v>
      </c>
      <c r="P10" s="35">
        <f>O10-N10</f>
        <v>0</v>
      </c>
      <c r="Q10" s="97"/>
    </row>
    <row r="11" spans="1:17" x14ac:dyDescent="0.35">
      <c r="A11" s="104" t="s">
        <v>14</v>
      </c>
      <c r="B11" s="45">
        <v>0</v>
      </c>
      <c r="C11" s="46">
        <f>B11</f>
        <v>0</v>
      </c>
      <c r="D11" s="42"/>
      <c r="E11" s="43"/>
      <c r="F11" s="20"/>
      <c r="G11" s="104" t="s">
        <v>14</v>
      </c>
      <c r="H11" s="45">
        <v>0</v>
      </c>
      <c r="I11" s="42">
        <f>H11</f>
        <v>0</v>
      </c>
      <c r="J11" s="46"/>
      <c r="K11" s="105"/>
      <c r="L11" s="20"/>
      <c r="M11" s="104" t="s">
        <v>14</v>
      </c>
      <c r="N11" s="45">
        <f>D49</f>
        <v>5154</v>
      </c>
      <c r="O11" s="46">
        <f>N11</f>
        <v>5154</v>
      </c>
      <c r="P11" s="42"/>
      <c r="Q11" s="103"/>
    </row>
    <row r="12" spans="1:17" ht="15" thickBot="1" x14ac:dyDescent="0.4">
      <c r="A12" s="106" t="s">
        <v>15</v>
      </c>
      <c r="B12" s="48">
        <f>SUM(B10:B11)</f>
        <v>7290000</v>
      </c>
      <c r="C12" s="49">
        <f>SUM(C10:C11)</f>
        <v>7985000</v>
      </c>
      <c r="D12" s="48">
        <f>C12-B12</f>
        <v>695000</v>
      </c>
      <c r="E12" s="50">
        <f>IF(D12=0,0,D12/B12)</f>
        <v>9.5336076817558305E-2</v>
      </c>
      <c r="F12" s="20"/>
      <c r="G12" s="106" t="s">
        <v>15</v>
      </c>
      <c r="H12" s="48">
        <f>SUM(H10:H11)</f>
        <v>7438400</v>
      </c>
      <c r="I12" s="48">
        <f>SUM(I10:I11)</f>
        <v>6998400</v>
      </c>
      <c r="J12" s="49">
        <f>I12-H12</f>
        <v>-440000</v>
      </c>
      <c r="K12" s="107">
        <f>IF(J12=0,0,J12/H12)</f>
        <v>-5.9152505915250592E-2</v>
      </c>
      <c r="L12" s="20"/>
      <c r="M12" s="106" t="s">
        <v>15</v>
      </c>
      <c r="N12" s="48">
        <f>SUM(N10:N11)</f>
        <v>7591954</v>
      </c>
      <c r="O12" s="49">
        <f>SUM(O10:O11)</f>
        <v>7591954</v>
      </c>
      <c r="P12" s="48">
        <f>O12-N12</f>
        <v>0</v>
      </c>
      <c r="Q12" s="50">
        <f>IF(P12=0,0,P12/N12)</f>
        <v>0</v>
      </c>
    </row>
    <row r="13" spans="1:17" ht="15.75" customHeight="1" x14ac:dyDescent="0.35">
      <c r="A13" s="18" t="s">
        <v>50</v>
      </c>
      <c r="G13" s="18" t="s">
        <v>50</v>
      </c>
      <c r="M13" s="18" t="s">
        <v>50</v>
      </c>
    </row>
    <row r="14" spans="1:17" ht="15" thickBot="1" x14ac:dyDescent="0.4">
      <c r="A14" s="108" t="s">
        <v>59</v>
      </c>
      <c r="B14" s="20"/>
      <c r="C14" s="20"/>
      <c r="D14" s="52" t="s">
        <v>16</v>
      </c>
      <c r="E14" s="53">
        <v>0.2</v>
      </c>
      <c r="F14" s="20"/>
      <c r="G14" s="108" t="s">
        <v>59</v>
      </c>
      <c r="H14" s="20"/>
      <c r="I14" s="20"/>
      <c r="J14" s="52" t="s">
        <v>16</v>
      </c>
      <c r="K14" s="53">
        <v>0.2</v>
      </c>
      <c r="L14" s="20"/>
      <c r="M14" s="108" t="s">
        <v>59</v>
      </c>
      <c r="N14" s="20"/>
      <c r="O14" s="20"/>
      <c r="P14" s="52" t="s">
        <v>16</v>
      </c>
      <c r="Q14" s="53">
        <v>0.2</v>
      </c>
    </row>
    <row r="15" spans="1:17" s="4" customFormat="1" ht="27" thickBot="1" x14ac:dyDescent="0.4">
      <c r="A15" s="109"/>
      <c r="B15" s="110" t="s">
        <v>28</v>
      </c>
      <c r="C15" s="111" t="s">
        <v>8</v>
      </c>
      <c r="D15" s="112" t="s">
        <v>17</v>
      </c>
      <c r="E15" s="113" t="s">
        <v>10</v>
      </c>
      <c r="F15" s="88"/>
      <c r="G15" s="109"/>
      <c r="H15" s="110" t="s">
        <v>28</v>
      </c>
      <c r="I15" s="111" t="s">
        <v>8</v>
      </c>
      <c r="J15" s="112" t="s">
        <v>17</v>
      </c>
      <c r="K15" s="113" t="s">
        <v>10</v>
      </c>
      <c r="L15" s="88"/>
      <c r="M15" s="109"/>
      <c r="N15" s="110" t="s">
        <v>28</v>
      </c>
      <c r="O15" s="111" t="s">
        <v>8</v>
      </c>
      <c r="P15" s="112" t="s">
        <v>17</v>
      </c>
      <c r="Q15" s="113" t="s">
        <v>10</v>
      </c>
    </row>
    <row r="16" spans="1:17" x14ac:dyDescent="0.35">
      <c r="A16" s="114" t="s">
        <v>18</v>
      </c>
      <c r="B16" s="60">
        <f>-$B$12*E14</f>
        <v>-1458000</v>
      </c>
      <c r="C16" s="137">
        <v>-1472000</v>
      </c>
      <c r="D16" s="60">
        <f>C16-B16</f>
        <v>-14000</v>
      </c>
      <c r="E16" s="61">
        <f>IF(D16=0,0,-D16/B16)</f>
        <v>-9.6021947873799734E-3</v>
      </c>
      <c r="F16" s="20"/>
      <c r="G16" s="114" t="s">
        <v>18</v>
      </c>
      <c r="H16" s="60">
        <f>-$H$12*K14</f>
        <v>-1487680</v>
      </c>
      <c r="I16" s="137">
        <v>-1501960</v>
      </c>
      <c r="J16" s="60">
        <f>I16-H16</f>
        <v>-14280</v>
      </c>
      <c r="K16" s="61">
        <f>IF(J16=0,0,-J16/H16)</f>
        <v>-9.5988384598838464E-3</v>
      </c>
      <c r="L16" s="20"/>
      <c r="M16" s="114" t="s">
        <v>18</v>
      </c>
      <c r="N16" s="60">
        <f>-$N$12*Q14</f>
        <v>-1518390.8</v>
      </c>
      <c r="O16" s="137">
        <v>-1577806</v>
      </c>
      <c r="P16" s="60">
        <f>O16-N16</f>
        <v>-59415.199999999953</v>
      </c>
      <c r="Q16" s="61">
        <f>IF(P16=0,0,-P16/N16)</f>
        <v>-3.913037407760897E-2</v>
      </c>
    </row>
    <row r="17" spans="1:17" x14ac:dyDescent="0.35">
      <c r="A17" s="98" t="s">
        <v>19</v>
      </c>
      <c r="B17" s="62">
        <v>8</v>
      </c>
      <c r="C17" s="36"/>
      <c r="D17" s="35"/>
      <c r="E17" s="37"/>
      <c r="F17" s="20"/>
      <c r="G17" s="98" t="s">
        <v>19</v>
      </c>
      <c r="H17" s="62">
        <v>8</v>
      </c>
      <c r="I17" s="36"/>
      <c r="J17" s="35"/>
      <c r="K17" s="37"/>
      <c r="L17" s="20"/>
      <c r="M17" s="98" t="s">
        <v>19</v>
      </c>
      <c r="N17" s="62">
        <v>8</v>
      </c>
      <c r="O17" s="36"/>
      <c r="P17" s="35"/>
      <c r="Q17" s="37"/>
    </row>
    <row r="18" spans="1:17" ht="15" thickBot="1" x14ac:dyDescent="0.4">
      <c r="A18" s="115" t="s">
        <v>20</v>
      </c>
      <c r="B18" s="64">
        <v>0.98</v>
      </c>
      <c r="C18" s="138">
        <v>0.98</v>
      </c>
      <c r="D18" s="66"/>
      <c r="E18" s="80"/>
      <c r="F18" s="20"/>
      <c r="G18" s="115" t="s">
        <v>20</v>
      </c>
      <c r="H18" s="64">
        <v>0.98</v>
      </c>
      <c r="I18" s="138">
        <v>0.98</v>
      </c>
      <c r="J18" s="66"/>
      <c r="K18" s="80"/>
      <c r="L18" s="20"/>
      <c r="M18" s="115" t="s">
        <v>20</v>
      </c>
      <c r="N18" s="116">
        <v>0.98</v>
      </c>
      <c r="O18" s="138">
        <v>1</v>
      </c>
      <c r="P18" s="66"/>
      <c r="Q18" s="80"/>
    </row>
    <row r="19" spans="1:17" ht="15" thickBot="1" x14ac:dyDescent="0.4">
      <c r="A19" s="109" t="s">
        <v>21</v>
      </c>
      <c r="B19" s="68">
        <f>-IF(B16=0,0,B16/(B17*B18))</f>
        <v>185969.38775510204</v>
      </c>
      <c r="C19" s="69"/>
      <c r="D19" s="70"/>
      <c r="E19" s="70"/>
      <c r="F19" s="20"/>
      <c r="G19" s="109" t="s">
        <v>21</v>
      </c>
      <c r="H19" s="68">
        <f>-IF(H16=0,0,H16/(H17*H18))</f>
        <v>189755.10204081633</v>
      </c>
      <c r="I19" s="69"/>
      <c r="J19" s="70"/>
      <c r="K19" s="70"/>
      <c r="L19" s="20"/>
      <c r="M19" s="109" t="s">
        <v>21</v>
      </c>
      <c r="N19" s="68">
        <f>-IF(N16=0,0,N16/(N17*N18))</f>
        <v>193672.29591836737</v>
      </c>
      <c r="O19" s="69"/>
      <c r="P19" s="70"/>
      <c r="Q19" s="70"/>
    </row>
    <row r="20" spans="1:17" ht="6" customHeight="1" x14ac:dyDescent="0.35">
      <c r="A20" s="117"/>
      <c r="B20" s="72"/>
      <c r="C20" s="72"/>
      <c r="D20" s="70"/>
      <c r="E20" s="20"/>
      <c r="F20" s="20"/>
      <c r="G20" s="117"/>
      <c r="H20" s="72"/>
      <c r="I20" s="72"/>
      <c r="J20" s="70"/>
      <c r="K20" s="20"/>
      <c r="L20" s="20"/>
      <c r="M20" s="117"/>
      <c r="N20" s="72"/>
      <c r="O20" s="72"/>
      <c r="P20" s="70"/>
      <c r="Q20" s="20"/>
    </row>
    <row r="21" spans="1:17" ht="15" thickBot="1" x14ac:dyDescent="0.4">
      <c r="A21" s="108" t="s">
        <v>60</v>
      </c>
      <c r="B21" s="20"/>
      <c r="C21" s="20"/>
      <c r="D21" s="52" t="s">
        <v>16</v>
      </c>
      <c r="E21" s="53">
        <v>0.3</v>
      </c>
      <c r="F21" s="20"/>
      <c r="G21" s="108" t="s">
        <v>60</v>
      </c>
      <c r="H21" s="20"/>
      <c r="I21" s="20"/>
      <c r="J21" s="52" t="s">
        <v>16</v>
      </c>
      <c r="K21" s="53">
        <v>0.3</v>
      </c>
      <c r="L21" s="20"/>
      <c r="M21" s="108" t="s">
        <v>60</v>
      </c>
      <c r="N21" s="20"/>
      <c r="O21" s="20"/>
      <c r="P21" s="52" t="s">
        <v>16</v>
      </c>
      <c r="Q21" s="53">
        <v>0.3</v>
      </c>
    </row>
    <row r="22" spans="1:17" s="4" customFormat="1" ht="27" thickBot="1" x14ac:dyDescent="0.4">
      <c r="A22" s="109"/>
      <c r="B22" s="110" t="s">
        <v>7</v>
      </c>
      <c r="C22" s="111" t="s">
        <v>8</v>
      </c>
      <c r="D22" s="112" t="s">
        <v>17</v>
      </c>
      <c r="E22" s="113" t="s">
        <v>10</v>
      </c>
      <c r="F22" s="88"/>
      <c r="G22" s="109"/>
      <c r="H22" s="110" t="s">
        <v>7</v>
      </c>
      <c r="I22" s="111" t="s">
        <v>8</v>
      </c>
      <c r="J22" s="112" t="s">
        <v>17</v>
      </c>
      <c r="K22" s="113" t="s">
        <v>10</v>
      </c>
      <c r="L22" s="88"/>
      <c r="M22" s="109"/>
      <c r="N22" s="110" t="s">
        <v>7</v>
      </c>
      <c r="O22" s="111" t="s">
        <v>8</v>
      </c>
      <c r="P22" s="112" t="s">
        <v>17</v>
      </c>
      <c r="Q22" s="113" t="s">
        <v>10</v>
      </c>
    </row>
    <row r="23" spans="1:17" x14ac:dyDescent="0.35">
      <c r="A23" s="114" t="s">
        <v>18</v>
      </c>
      <c r="B23" s="60">
        <f>-$B$12*E21</f>
        <v>-2187000</v>
      </c>
      <c r="C23" s="137">
        <v>-2208000</v>
      </c>
      <c r="D23" s="60">
        <f>C23-B23</f>
        <v>-21000</v>
      </c>
      <c r="E23" s="61">
        <f>IF(D23=0,0,-D23/B23)</f>
        <v>-9.6021947873799734E-3</v>
      </c>
      <c r="F23" s="20"/>
      <c r="G23" s="114" t="s">
        <v>18</v>
      </c>
      <c r="H23" s="60">
        <f>-$H$12*K21</f>
        <v>-2231520</v>
      </c>
      <c r="I23" s="137">
        <v>-2252940</v>
      </c>
      <c r="J23" s="60">
        <f>I23-H23</f>
        <v>-21420</v>
      </c>
      <c r="K23" s="61">
        <f>IF(J23=0,0,-J23/H23)</f>
        <v>-9.5988384598838464E-3</v>
      </c>
      <c r="L23" s="20"/>
      <c r="M23" s="114" t="s">
        <v>18</v>
      </c>
      <c r="N23" s="60">
        <f>-$N$12*Q21</f>
        <v>-2277586.1999999997</v>
      </c>
      <c r="O23" s="137">
        <v>-2319376</v>
      </c>
      <c r="P23" s="60">
        <f>O23-N23</f>
        <v>-41789.800000000279</v>
      </c>
      <c r="Q23" s="61">
        <f>IF(P23=0,0,-P23/N23)</f>
        <v>-1.8348284688412795E-2</v>
      </c>
    </row>
    <row r="24" spans="1:17" x14ac:dyDescent="0.35">
      <c r="A24" s="98" t="s">
        <v>19</v>
      </c>
      <c r="B24" s="62">
        <v>4</v>
      </c>
      <c r="C24" s="36"/>
      <c r="D24" s="35"/>
      <c r="E24" s="37"/>
      <c r="F24" s="20"/>
      <c r="G24" s="98" t="s">
        <v>19</v>
      </c>
      <c r="H24" s="62">
        <v>4</v>
      </c>
      <c r="I24" s="36"/>
      <c r="J24" s="35"/>
      <c r="K24" s="37"/>
      <c r="L24" s="20"/>
      <c r="M24" s="98" t="s">
        <v>19</v>
      </c>
      <c r="N24" s="62">
        <v>4</v>
      </c>
      <c r="O24" s="36"/>
      <c r="P24" s="35"/>
      <c r="Q24" s="37"/>
    </row>
    <row r="25" spans="1:17" ht="15" thickBot="1" x14ac:dyDescent="0.4">
      <c r="A25" s="115" t="s">
        <v>20</v>
      </c>
      <c r="B25" s="64">
        <v>0.98</v>
      </c>
      <c r="C25" s="138">
        <v>0.98</v>
      </c>
      <c r="D25" s="66"/>
      <c r="E25" s="67"/>
      <c r="F25" s="20"/>
      <c r="G25" s="115" t="s">
        <v>20</v>
      </c>
      <c r="H25" s="64">
        <v>0.98</v>
      </c>
      <c r="I25" s="138">
        <v>0.98</v>
      </c>
      <c r="J25" s="66"/>
      <c r="K25" s="67"/>
      <c r="L25" s="20"/>
      <c r="M25" s="115" t="s">
        <v>20</v>
      </c>
      <c r="N25" s="116">
        <v>0.98</v>
      </c>
      <c r="O25" s="138">
        <v>0.98</v>
      </c>
      <c r="P25" s="66"/>
      <c r="Q25" s="67"/>
    </row>
    <row r="26" spans="1:17" ht="15" thickBot="1" x14ac:dyDescent="0.4">
      <c r="A26" s="109" t="s">
        <v>21</v>
      </c>
      <c r="B26" s="68">
        <f>-IF(B23=0,0,B23/(B24*B25))</f>
        <v>557908.16326530615</v>
      </c>
      <c r="C26" s="69"/>
      <c r="D26" s="70"/>
      <c r="E26" s="70"/>
      <c r="F26" s="20"/>
      <c r="G26" s="109" t="s">
        <v>21</v>
      </c>
      <c r="H26" s="68">
        <f>-IF(H23=0,0,H23/(H24*H25))</f>
        <v>569265.30612244899</v>
      </c>
      <c r="I26" s="69"/>
      <c r="J26" s="70"/>
      <c r="K26" s="70"/>
      <c r="L26" s="20"/>
      <c r="M26" s="109" t="s">
        <v>21</v>
      </c>
      <c r="N26" s="68">
        <f>-IF(N23=0,0,N23/(N24*N25))</f>
        <v>581016.88775510201</v>
      </c>
      <c r="O26" s="69"/>
      <c r="P26" s="70"/>
      <c r="Q26" s="70"/>
    </row>
    <row r="27" spans="1:17" ht="7.5" customHeight="1" x14ac:dyDescent="0.35">
      <c r="A27" s="117"/>
      <c r="B27" s="70"/>
      <c r="C27" s="69"/>
      <c r="D27" s="70"/>
      <c r="E27" s="70"/>
      <c r="F27" s="20"/>
      <c r="G27" s="117"/>
      <c r="H27" s="70"/>
      <c r="I27" s="69"/>
      <c r="J27" s="70"/>
      <c r="K27" s="70"/>
      <c r="L27" s="20"/>
      <c r="M27" s="117"/>
      <c r="N27" s="70"/>
      <c r="O27" s="69"/>
      <c r="P27" s="70"/>
      <c r="Q27" s="70"/>
    </row>
    <row r="28" spans="1:17" ht="15" thickBot="1" x14ac:dyDescent="0.4">
      <c r="A28" s="108" t="s">
        <v>61</v>
      </c>
      <c r="B28" s="20"/>
      <c r="C28" s="20"/>
      <c r="D28" s="52" t="s">
        <v>16</v>
      </c>
      <c r="E28" s="53">
        <v>0.2</v>
      </c>
      <c r="F28" s="20"/>
      <c r="G28" s="108" t="s">
        <v>61</v>
      </c>
      <c r="H28" s="20"/>
      <c r="I28" s="20"/>
      <c r="J28" s="52" t="s">
        <v>16</v>
      </c>
      <c r="K28" s="53">
        <v>0.2</v>
      </c>
      <c r="L28" s="20"/>
      <c r="M28" s="108" t="s">
        <v>61</v>
      </c>
      <c r="N28" s="20"/>
      <c r="O28" s="20"/>
      <c r="P28" s="52" t="s">
        <v>16</v>
      </c>
      <c r="Q28" s="53">
        <v>0.2</v>
      </c>
    </row>
    <row r="29" spans="1:17" s="4" customFormat="1" ht="27" thickBot="1" x14ac:dyDescent="0.4">
      <c r="A29" s="109"/>
      <c r="B29" s="110" t="s">
        <v>7</v>
      </c>
      <c r="C29" s="111" t="s">
        <v>8</v>
      </c>
      <c r="D29" s="112" t="s">
        <v>17</v>
      </c>
      <c r="E29" s="113" t="s">
        <v>10</v>
      </c>
      <c r="F29" s="88"/>
      <c r="G29" s="109"/>
      <c r="H29" s="110" t="s">
        <v>7</v>
      </c>
      <c r="I29" s="111" t="s">
        <v>8</v>
      </c>
      <c r="J29" s="112" t="s">
        <v>17</v>
      </c>
      <c r="K29" s="113" t="s">
        <v>10</v>
      </c>
      <c r="L29" s="88"/>
      <c r="M29" s="109"/>
      <c r="N29" s="110" t="s">
        <v>7</v>
      </c>
      <c r="O29" s="111" t="s">
        <v>8</v>
      </c>
      <c r="P29" s="112" t="s">
        <v>17</v>
      </c>
      <c r="Q29" s="113" t="s">
        <v>10</v>
      </c>
    </row>
    <row r="30" spans="1:17" x14ac:dyDescent="0.35">
      <c r="A30" s="114" t="s">
        <v>18</v>
      </c>
      <c r="B30" s="60">
        <f>-$B$12*E28</f>
        <v>-1458000</v>
      </c>
      <c r="C30" s="137">
        <v>-1456979</v>
      </c>
      <c r="D30" s="60">
        <f>C30-B30</f>
        <v>1021</v>
      </c>
      <c r="E30" s="61">
        <f>IF(D30=0,0,-D30/B30)</f>
        <v>7.0027434842249655E-4</v>
      </c>
      <c r="F30" s="20"/>
      <c r="G30" s="114" t="s">
        <v>18</v>
      </c>
      <c r="H30" s="60">
        <f>-$H$12*K28</f>
        <v>-1487680</v>
      </c>
      <c r="I30" s="137">
        <v>-1501960</v>
      </c>
      <c r="J30" s="60">
        <f>I30-H30</f>
        <v>-14280</v>
      </c>
      <c r="K30" s="61">
        <f>IF(J30=0,0,-J30/H30)</f>
        <v>-9.5988384598838464E-3</v>
      </c>
      <c r="L30" s="20"/>
      <c r="M30" s="114" t="s">
        <v>18</v>
      </c>
      <c r="N30" s="60">
        <f>-$N$12*Q28</f>
        <v>-1518390.8</v>
      </c>
      <c r="O30" s="137">
        <v>-1546250</v>
      </c>
      <c r="P30" s="60">
        <f>O30-N30</f>
        <v>-27859.199999999953</v>
      </c>
      <c r="Q30" s="61">
        <f>IF(P30=0,0,-P30/N30)</f>
        <v>-1.8347845627094128E-2</v>
      </c>
    </row>
    <row r="31" spans="1:17" x14ac:dyDescent="0.35">
      <c r="A31" s="98" t="s">
        <v>19</v>
      </c>
      <c r="B31" s="62">
        <v>2</v>
      </c>
      <c r="C31" s="36"/>
      <c r="D31" s="35"/>
      <c r="E31" s="37"/>
      <c r="F31" s="20"/>
      <c r="G31" s="98" t="s">
        <v>19</v>
      </c>
      <c r="H31" s="62">
        <v>2</v>
      </c>
      <c r="I31" s="36"/>
      <c r="J31" s="35"/>
      <c r="K31" s="37"/>
      <c r="L31" s="20"/>
      <c r="M31" s="98" t="s">
        <v>19</v>
      </c>
      <c r="N31" s="62">
        <v>2</v>
      </c>
      <c r="O31" s="36"/>
      <c r="P31" s="35"/>
      <c r="Q31" s="37"/>
    </row>
    <row r="32" spans="1:17" ht="15" thickBot="1" x14ac:dyDescent="0.4">
      <c r="A32" s="115" t="s">
        <v>20</v>
      </c>
      <c r="B32" s="64">
        <v>0.98</v>
      </c>
      <c r="C32" s="138">
        <v>0.97</v>
      </c>
      <c r="D32" s="66"/>
      <c r="E32" s="67"/>
      <c r="F32" s="20"/>
      <c r="G32" s="115" t="s">
        <v>20</v>
      </c>
      <c r="H32" s="64">
        <v>0.98</v>
      </c>
      <c r="I32" s="138">
        <v>0.98</v>
      </c>
      <c r="J32" s="66"/>
      <c r="K32" s="67"/>
      <c r="L32" s="20"/>
      <c r="M32" s="115" t="s">
        <v>20</v>
      </c>
      <c r="N32" s="116">
        <v>0.98</v>
      </c>
      <c r="O32" s="138">
        <v>0.98</v>
      </c>
      <c r="P32" s="66"/>
      <c r="Q32" s="67"/>
    </row>
    <row r="33" spans="1:19" ht="15" thickBot="1" x14ac:dyDescent="0.4">
      <c r="A33" s="109" t="s">
        <v>21</v>
      </c>
      <c r="B33" s="68">
        <f>-IF(B30=0,0,B30/(B31*B32))</f>
        <v>743877.55102040817</v>
      </c>
      <c r="C33" s="69"/>
      <c r="D33" s="70"/>
      <c r="E33" s="70"/>
      <c r="F33" s="20"/>
      <c r="G33" s="109" t="s">
        <v>21</v>
      </c>
      <c r="H33" s="68">
        <f>-IF(H30=0,0,H30/(H31*H32))</f>
        <v>759020.40816326533</v>
      </c>
      <c r="I33" s="69"/>
      <c r="J33" s="70"/>
      <c r="K33" s="70"/>
      <c r="L33" s="20"/>
      <c r="M33" s="109" t="s">
        <v>21</v>
      </c>
      <c r="N33" s="68">
        <f>-IF(N30=0,0,N30/(N31*N32))</f>
        <v>774689.18367346947</v>
      </c>
      <c r="O33" s="69"/>
      <c r="P33" s="70"/>
      <c r="Q33" s="70"/>
    </row>
    <row r="34" spans="1:19" ht="7.5" customHeight="1" x14ac:dyDescent="0.35">
      <c r="A34" s="117"/>
      <c r="B34" s="70"/>
      <c r="C34" s="69"/>
      <c r="D34" s="70"/>
      <c r="E34" s="70"/>
      <c r="F34" s="20"/>
      <c r="G34" s="117"/>
      <c r="H34" s="70"/>
      <c r="I34" s="69"/>
      <c r="J34" s="70"/>
      <c r="K34" s="70"/>
      <c r="L34" s="20"/>
      <c r="M34" s="117"/>
      <c r="N34" s="70"/>
      <c r="O34" s="69"/>
      <c r="P34" s="70"/>
      <c r="Q34" s="70"/>
    </row>
    <row r="35" spans="1:19" ht="15" thickBot="1" x14ac:dyDescent="0.4">
      <c r="A35" s="108" t="s">
        <v>62</v>
      </c>
      <c r="B35" s="20"/>
      <c r="C35" s="20"/>
      <c r="D35" s="52" t="s">
        <v>16</v>
      </c>
      <c r="E35" s="53">
        <v>0.3</v>
      </c>
      <c r="F35" s="20"/>
      <c r="G35" s="108" t="s">
        <v>62</v>
      </c>
      <c r="H35" s="20"/>
      <c r="I35" s="20"/>
      <c r="J35" s="52" t="s">
        <v>16</v>
      </c>
      <c r="K35" s="53">
        <v>0.3</v>
      </c>
      <c r="L35" s="20"/>
      <c r="M35" s="108" t="s">
        <v>62</v>
      </c>
      <c r="N35" s="20"/>
      <c r="O35" s="20"/>
      <c r="P35" s="52" t="s">
        <v>16</v>
      </c>
      <c r="Q35" s="53">
        <v>0.3</v>
      </c>
    </row>
    <row r="36" spans="1:19" s="4" customFormat="1" ht="27" thickBot="1" x14ac:dyDescent="0.4">
      <c r="A36" s="109"/>
      <c r="B36" s="110" t="s">
        <v>7</v>
      </c>
      <c r="C36" s="111" t="s">
        <v>8</v>
      </c>
      <c r="D36" s="112" t="s">
        <v>17</v>
      </c>
      <c r="E36" s="113" t="s">
        <v>10</v>
      </c>
      <c r="F36" s="88"/>
      <c r="G36" s="109"/>
      <c r="H36" s="110" t="s">
        <v>7</v>
      </c>
      <c r="I36" s="111" t="s">
        <v>8</v>
      </c>
      <c r="J36" s="112" t="s">
        <v>17</v>
      </c>
      <c r="K36" s="113" t="s">
        <v>10</v>
      </c>
      <c r="L36" s="88"/>
      <c r="M36" s="109"/>
      <c r="N36" s="110" t="s">
        <v>7</v>
      </c>
      <c r="O36" s="111" t="s">
        <v>8</v>
      </c>
      <c r="P36" s="112" t="s">
        <v>17</v>
      </c>
      <c r="Q36" s="113" t="s">
        <v>10</v>
      </c>
    </row>
    <row r="37" spans="1:19" x14ac:dyDescent="0.35">
      <c r="A37" s="114" t="s">
        <v>18</v>
      </c>
      <c r="B37" s="60">
        <f>-$B$12*E35</f>
        <v>-2187000</v>
      </c>
      <c r="C37" s="137">
        <v>-2478367</v>
      </c>
      <c r="D37" s="60">
        <f>C37-B37</f>
        <v>-291367</v>
      </c>
      <c r="E37" s="61">
        <f>IF(D37=0,0,-D37/B37)</f>
        <v>-0.13322679469593049</v>
      </c>
      <c r="F37" s="20"/>
      <c r="G37" s="114" t="s">
        <v>18</v>
      </c>
      <c r="H37" s="60">
        <f>-$H$12*K35</f>
        <v>-2231520</v>
      </c>
      <c r="I37" s="137">
        <v>-2252940</v>
      </c>
      <c r="J37" s="60">
        <f>I37-H37</f>
        <v>-21420</v>
      </c>
      <c r="K37" s="61">
        <f>IF(J37=0,0,-J37/H37)</f>
        <v>-9.5988384598838464E-3</v>
      </c>
      <c r="L37" s="20"/>
      <c r="M37" s="114" t="s">
        <v>18</v>
      </c>
      <c r="N37" s="60">
        <f>-$N$12*Q35</f>
        <v>-2277586.1999999997</v>
      </c>
      <c r="O37" s="137">
        <v>-2414044</v>
      </c>
      <c r="P37" s="60">
        <f>O37-N37</f>
        <v>-136457.80000000028</v>
      </c>
      <c r="Q37" s="61">
        <f>IF(P37=0,0,-P37/N37)</f>
        <v>-5.9913341589442497E-2</v>
      </c>
    </row>
    <row r="38" spans="1:19" x14ac:dyDescent="0.35">
      <c r="A38" s="98" t="s">
        <v>19</v>
      </c>
      <c r="B38" s="62">
        <v>2</v>
      </c>
      <c r="C38" s="36"/>
      <c r="D38" s="35"/>
      <c r="E38" s="37"/>
      <c r="F38" s="20"/>
      <c r="G38" s="98" t="s">
        <v>19</v>
      </c>
      <c r="H38" s="62">
        <v>2</v>
      </c>
      <c r="I38" s="36"/>
      <c r="J38" s="35"/>
      <c r="K38" s="37"/>
      <c r="L38" s="20"/>
      <c r="M38" s="98" t="s">
        <v>19</v>
      </c>
      <c r="N38" s="62">
        <v>2</v>
      </c>
      <c r="O38" s="36"/>
      <c r="P38" s="35"/>
      <c r="Q38" s="37"/>
    </row>
    <row r="39" spans="1:19" ht="15" thickBot="1" x14ac:dyDescent="0.4">
      <c r="A39" s="115" t="s">
        <v>20</v>
      </c>
      <c r="B39" s="64">
        <v>0.98</v>
      </c>
      <c r="C39" s="138">
        <v>1.1000000000000001</v>
      </c>
      <c r="D39" s="66"/>
      <c r="E39" s="67"/>
      <c r="F39" s="20"/>
      <c r="G39" s="115" t="s">
        <v>20</v>
      </c>
      <c r="H39" s="64">
        <v>0.98</v>
      </c>
      <c r="I39" s="138">
        <v>0.98</v>
      </c>
      <c r="J39" s="66"/>
      <c r="K39" s="67"/>
      <c r="L39" s="20"/>
      <c r="M39" s="115" t="s">
        <v>20</v>
      </c>
      <c r="N39" s="116">
        <v>0.98</v>
      </c>
      <c r="O39" s="138">
        <v>1.02</v>
      </c>
      <c r="P39" s="66"/>
      <c r="Q39" s="67"/>
    </row>
    <row r="40" spans="1:19" ht="15" thickBot="1" x14ac:dyDescent="0.4">
      <c r="A40" s="109" t="s">
        <v>21</v>
      </c>
      <c r="B40" s="68">
        <f>-IF(B37=0,0,B37/(B38*B39))</f>
        <v>1115816.3265306123</v>
      </c>
      <c r="C40" s="69"/>
      <c r="D40" s="70"/>
      <c r="E40" s="70"/>
      <c r="F40" s="20"/>
      <c r="G40" s="109" t="s">
        <v>21</v>
      </c>
      <c r="H40" s="68">
        <f>-IF(H37=0,0,H37/(H38*H39))</f>
        <v>1138530.612244898</v>
      </c>
      <c r="I40" s="69"/>
      <c r="J40" s="70"/>
      <c r="K40" s="70"/>
      <c r="L40" s="20"/>
      <c r="M40" s="109" t="s">
        <v>21</v>
      </c>
      <c r="N40" s="68">
        <f>-IF(N37=0,0,N37/(N38*N39))</f>
        <v>1162033.775510204</v>
      </c>
      <c r="O40" s="69"/>
      <c r="P40" s="70"/>
      <c r="Q40" s="70"/>
    </row>
    <row r="41" spans="1:19" ht="6.75" customHeight="1" thickBot="1" x14ac:dyDescent="0.4">
      <c r="A41" s="117"/>
      <c r="B41" s="70"/>
      <c r="C41" s="69"/>
      <c r="D41" s="70"/>
      <c r="E41" s="70"/>
      <c r="F41" s="20"/>
      <c r="G41" s="117"/>
      <c r="H41" s="70"/>
      <c r="I41" s="69"/>
      <c r="J41" s="70"/>
      <c r="K41" s="70"/>
      <c r="L41" s="20"/>
      <c r="M41" s="117"/>
      <c r="N41" s="70"/>
      <c r="O41" s="69"/>
      <c r="P41" s="70"/>
      <c r="Q41" s="70"/>
    </row>
    <row r="42" spans="1:19" ht="15" thickBot="1" x14ac:dyDescent="0.4">
      <c r="A42" s="118" t="s">
        <v>22</v>
      </c>
      <c r="B42" s="74"/>
      <c r="C42" s="75"/>
      <c r="D42" s="74">
        <f>SUM(D16,D23,D30,D37)</f>
        <v>-325346</v>
      </c>
      <c r="E42" s="119">
        <f>D42/B12</f>
        <v>-4.4629080932784636E-2</v>
      </c>
      <c r="F42" s="20"/>
      <c r="G42" s="118" t="s">
        <v>22</v>
      </c>
      <c r="H42" s="74"/>
      <c r="I42" s="75"/>
      <c r="J42" s="74">
        <f>SUM(J16,J23,J30,J37)</f>
        <v>-71400</v>
      </c>
      <c r="K42" s="119">
        <f>J42/H12</f>
        <v>-9.5988384598838464E-3</v>
      </c>
      <c r="L42" s="20"/>
      <c r="M42" s="118" t="s">
        <v>22</v>
      </c>
      <c r="N42" s="74"/>
      <c r="O42" s="75"/>
      <c r="P42" s="74">
        <f>SUM(P16,P23,P30,P37)</f>
        <v>-265522.00000000047</v>
      </c>
      <c r="Q42" s="119">
        <f>P42/N12</f>
        <v>-3.4974131824297205E-2</v>
      </c>
    </row>
    <row r="43" spans="1:19" ht="6.75" customHeight="1" thickBot="1" x14ac:dyDescent="0.4">
      <c r="A43" s="117"/>
      <c r="B43" s="70"/>
      <c r="C43" s="69"/>
      <c r="D43" s="70"/>
      <c r="E43" s="70"/>
      <c r="F43" s="20"/>
      <c r="G43" s="117"/>
      <c r="H43" s="70"/>
      <c r="I43" s="69"/>
      <c r="J43" s="70"/>
      <c r="K43" s="70"/>
      <c r="L43" s="20"/>
      <c r="M43" s="117"/>
      <c r="N43" s="70"/>
      <c r="O43" s="69"/>
      <c r="P43" s="70"/>
      <c r="Q43" s="70"/>
    </row>
    <row r="44" spans="1:19" ht="15" thickBot="1" x14ac:dyDescent="0.4">
      <c r="A44" s="118" t="s">
        <v>23</v>
      </c>
      <c r="B44" s="74"/>
      <c r="C44" s="74"/>
      <c r="D44" s="74">
        <f>SUM(D12,D42)</f>
        <v>369654</v>
      </c>
      <c r="E44" s="76">
        <f>IF(D44=0,0,D44/B12)</f>
        <v>5.0706995884773662E-2</v>
      </c>
      <c r="F44" s="20"/>
      <c r="G44" s="118" t="s">
        <v>23</v>
      </c>
      <c r="H44" s="74"/>
      <c r="I44" s="74"/>
      <c r="J44" s="74">
        <f>SUM(J12,J42)</f>
        <v>-511400</v>
      </c>
      <c r="K44" s="76">
        <f>IF(J44=0,0,J44/H12)</f>
        <v>-6.8751344375134443E-2</v>
      </c>
      <c r="L44" s="20"/>
      <c r="M44" s="118" t="s">
        <v>23</v>
      </c>
      <c r="N44" s="74"/>
      <c r="O44" s="74"/>
      <c r="P44" s="74">
        <f>SUM(P12,P42)</f>
        <v>-265522.00000000047</v>
      </c>
      <c r="Q44" s="76">
        <f>IF(P44=0,0,P44/N12)</f>
        <v>-3.4974131824297205E-2</v>
      </c>
    </row>
    <row r="45" spans="1:19" ht="6" customHeight="1" thickBot="1" x14ac:dyDescent="0.4">
      <c r="A45" s="117"/>
      <c r="B45" s="70"/>
      <c r="C45" s="70"/>
      <c r="D45" s="70"/>
      <c r="E45" s="69"/>
      <c r="F45" s="20"/>
      <c r="G45" s="117"/>
      <c r="H45" s="70"/>
      <c r="I45" s="70"/>
      <c r="J45" s="70"/>
      <c r="K45" s="69"/>
      <c r="L45" s="20"/>
      <c r="M45" s="117"/>
      <c r="N45" s="70"/>
      <c r="O45" s="70"/>
      <c r="P45" s="70"/>
      <c r="Q45" s="69"/>
    </row>
    <row r="46" spans="1:19" x14ac:dyDescent="0.35">
      <c r="A46" s="120" t="s">
        <v>24</v>
      </c>
      <c r="B46" s="78">
        <f>B12*0.05</f>
        <v>364500</v>
      </c>
      <c r="C46" s="70"/>
      <c r="D46" s="70"/>
      <c r="E46" s="20"/>
      <c r="F46" s="20"/>
      <c r="G46" s="120" t="s">
        <v>24</v>
      </c>
      <c r="H46" s="78">
        <f>H12*0.05</f>
        <v>371920</v>
      </c>
      <c r="I46" s="70"/>
      <c r="J46" s="70"/>
      <c r="K46" s="20"/>
      <c r="L46" s="20"/>
      <c r="M46" s="120" t="s">
        <v>24</v>
      </c>
      <c r="N46" s="78">
        <f>N12*0.05</f>
        <v>379597.7</v>
      </c>
      <c r="O46" s="70"/>
      <c r="P46" s="70"/>
      <c r="Q46" s="20"/>
    </row>
    <row r="47" spans="1:19" ht="15" thickBot="1" x14ac:dyDescent="0.4">
      <c r="A47" s="121" t="s">
        <v>32</v>
      </c>
      <c r="B47" s="80">
        <f>B12*-0.05</f>
        <v>-364500</v>
      </c>
      <c r="C47" s="70"/>
      <c r="D47" s="70"/>
      <c r="E47" s="20"/>
      <c r="F47" s="20"/>
      <c r="G47" s="121" t="s">
        <v>32</v>
      </c>
      <c r="H47" s="80">
        <f>H12*-0.05</f>
        <v>-371920</v>
      </c>
      <c r="I47" s="70"/>
      <c r="J47" s="70"/>
      <c r="K47" s="20"/>
      <c r="L47" s="20"/>
      <c r="M47" s="121" t="s">
        <v>32</v>
      </c>
      <c r="N47" s="80">
        <f>N12*-0.05</f>
        <v>-379597.7</v>
      </c>
      <c r="O47" s="70"/>
      <c r="P47" s="70"/>
      <c r="Q47" s="20"/>
    </row>
    <row r="48" spans="1:19" ht="7.5" customHeight="1" thickBot="1" x14ac:dyDescent="0.4">
      <c r="A48" s="122"/>
      <c r="B48" s="70"/>
      <c r="C48" s="70"/>
      <c r="D48" s="70"/>
      <c r="E48" s="20"/>
      <c r="F48" s="20"/>
      <c r="G48" s="122"/>
      <c r="H48" s="70"/>
      <c r="I48" s="70"/>
      <c r="J48" s="70"/>
      <c r="K48" s="20"/>
      <c r="L48" s="20"/>
      <c r="M48" s="122"/>
      <c r="N48" s="70"/>
      <c r="O48" s="70"/>
      <c r="P48" s="70"/>
      <c r="Q48" s="20"/>
      <c r="S48" s="9"/>
    </row>
    <row r="49" spans="1:19" s="10" customFormat="1" x14ac:dyDescent="0.35">
      <c r="A49" s="123" t="s">
        <v>25</v>
      </c>
      <c r="B49" s="83"/>
      <c r="C49" s="83"/>
      <c r="D49" s="83">
        <f>IF(D44&lt;B47,D44-B47,IF(D44&lt;B46,0,IF(D44&gt;0,D44-B46,IF(D44&gt;B47,0,D44-B47))))</f>
        <v>5154</v>
      </c>
      <c r="E49" s="84">
        <f>IF(D49=0,0,D49/B12)</f>
        <v>7.0699588477366251E-4</v>
      </c>
      <c r="F49" s="124"/>
      <c r="G49" s="123" t="s">
        <v>25</v>
      </c>
      <c r="H49" s="83"/>
      <c r="I49" s="83"/>
      <c r="J49" s="83">
        <f>IF(J44&lt;H47,J44-H47,IF(J44&lt;H46,0,IF(J44&gt;0,J44-H46,IF(J44&gt;H47,0,J44-H47))))</f>
        <v>-139480</v>
      </c>
      <c r="K49" s="84">
        <f>IF(J49=0,0,J49/H12)</f>
        <v>-1.8751344375134437E-2</v>
      </c>
      <c r="L49" s="124"/>
      <c r="M49" s="123" t="s">
        <v>25</v>
      </c>
      <c r="N49" s="83"/>
      <c r="O49" s="83"/>
      <c r="P49" s="83">
        <f>IF(P44&lt;N47,P44-N47,IF(P44&lt;N46,0,IF(P44&gt;0,P44-N46,IF(P44&gt;N47,0,P44-N47))))</f>
        <v>0</v>
      </c>
      <c r="Q49" s="84">
        <f>IF(P49=0,0,P49/N12)</f>
        <v>0</v>
      </c>
      <c r="S49" s="11"/>
    </row>
    <row r="50" spans="1:19" s="12" customFormat="1" ht="15" thickBot="1" x14ac:dyDescent="0.4">
      <c r="A50" s="125" t="s">
        <v>26</v>
      </c>
      <c r="B50" s="86"/>
      <c r="C50" s="86"/>
      <c r="D50" s="86">
        <f>D44-D49</f>
        <v>364500</v>
      </c>
      <c r="E50" s="87">
        <f>IF(D50=0,0,D50/B12)</f>
        <v>0.05</v>
      </c>
      <c r="F50" s="126"/>
      <c r="G50" s="125" t="s">
        <v>26</v>
      </c>
      <c r="H50" s="86"/>
      <c r="I50" s="86"/>
      <c r="J50" s="86">
        <f>J44-J49</f>
        <v>-371920</v>
      </c>
      <c r="K50" s="87">
        <f>IF(J50=0,0,J50/H12)</f>
        <v>-0.05</v>
      </c>
      <c r="L50" s="126"/>
      <c r="M50" s="125" t="s">
        <v>26</v>
      </c>
      <c r="N50" s="86"/>
      <c r="O50" s="86"/>
      <c r="P50" s="86">
        <f>P44-P49</f>
        <v>-265522.00000000047</v>
      </c>
      <c r="Q50" s="87">
        <f>IF(P50=0,0,P50/N12)</f>
        <v>-3.4974131824297205E-2</v>
      </c>
      <c r="S50" s="13"/>
    </row>
    <row r="51" spans="1:19" ht="9" customHeight="1" x14ac:dyDescent="0.35">
      <c r="A51" s="23"/>
      <c r="B51" s="20"/>
      <c r="C51" s="20"/>
      <c r="D51" s="20"/>
      <c r="E51" s="20"/>
      <c r="F51" s="20"/>
      <c r="G51" s="88"/>
      <c r="H51" s="20"/>
      <c r="I51" s="20"/>
      <c r="J51" s="20"/>
      <c r="K51" s="20"/>
      <c r="L51" s="20"/>
      <c r="M51" s="88"/>
      <c r="N51" s="20"/>
      <c r="O51" s="20"/>
      <c r="P51" s="20"/>
      <c r="Q51" s="20"/>
    </row>
    <row r="52" spans="1:19" x14ac:dyDescent="0.35">
      <c r="A52" s="23" t="s">
        <v>34</v>
      </c>
      <c r="B52" s="20"/>
      <c r="C52" s="20"/>
      <c r="D52" s="20"/>
      <c r="E52" s="20"/>
      <c r="F52" s="20"/>
      <c r="G52" s="88" t="s">
        <v>80</v>
      </c>
      <c r="H52" s="20"/>
      <c r="I52" s="20"/>
      <c r="J52" s="20"/>
      <c r="K52" s="20"/>
      <c r="L52" s="20"/>
      <c r="M52" s="20" t="s">
        <v>83</v>
      </c>
      <c r="N52" s="20"/>
      <c r="O52" s="20"/>
      <c r="P52" s="20"/>
      <c r="Q52" s="21"/>
    </row>
    <row r="53" spans="1:19" x14ac:dyDescent="0.35">
      <c r="A53" s="23" t="s">
        <v>78</v>
      </c>
      <c r="B53" s="20"/>
      <c r="C53" s="20"/>
      <c r="D53" s="20"/>
      <c r="E53" s="20"/>
      <c r="F53" s="20"/>
      <c r="G53" s="88" t="s">
        <v>81</v>
      </c>
      <c r="H53" s="20"/>
      <c r="I53" s="20"/>
      <c r="J53" s="20"/>
      <c r="K53" s="20"/>
      <c r="L53" s="20"/>
      <c r="M53" s="20"/>
      <c r="N53" s="20"/>
      <c r="O53" s="20"/>
      <c r="P53" s="20"/>
      <c r="Q53" s="21"/>
    </row>
    <row r="54" spans="1:19" x14ac:dyDescent="0.35">
      <c r="A54" s="23" t="s">
        <v>79</v>
      </c>
      <c r="B54" s="20"/>
      <c r="C54" s="127"/>
      <c r="D54" s="20"/>
      <c r="E54" s="20"/>
      <c r="F54" s="20"/>
      <c r="G54" s="88" t="s">
        <v>82</v>
      </c>
      <c r="H54" s="20"/>
      <c r="I54" s="20"/>
      <c r="J54" s="20"/>
      <c r="K54" s="20"/>
      <c r="L54" s="20"/>
      <c r="M54" s="20"/>
      <c r="N54" s="20"/>
      <c r="O54" s="20"/>
      <c r="P54" s="20"/>
      <c r="Q54" s="21"/>
    </row>
    <row r="57" spans="1:19" x14ac:dyDescent="0.35">
      <c r="M57" s="8"/>
    </row>
    <row r="58" spans="1:19" x14ac:dyDescent="0.35">
      <c r="M58" s="8"/>
    </row>
  </sheetData>
  <mergeCells count="12">
    <mergeCell ref="Q4:Q5"/>
    <mergeCell ref="A4:A5"/>
    <mergeCell ref="B4:B5"/>
    <mergeCell ref="C4:C5"/>
    <mergeCell ref="E4:E5"/>
    <mergeCell ref="G4:G5"/>
    <mergeCell ref="H4:H5"/>
    <mergeCell ref="I4:I5"/>
    <mergeCell ref="K4:K5"/>
    <mergeCell ref="M4:M5"/>
    <mergeCell ref="N4:N5"/>
    <mergeCell ref="O4:O5"/>
  </mergeCells>
  <pageMargins left="0.7" right="0.7" top="0.75" bottom="0.75" header="0.3" footer="0.3"/>
  <pageSetup paperSize="9" scale="50" orientation="landscape" r:id="rId1"/>
  <headerFooter>
    <oddHeader>&amp;L&amp;"-,Fed"&amp;14Bilag 3: Eksempel på model til beregning af takster samt efterregulering over-/underskud og belægningsprocent
ved anvendelse af flere takstniveauer&amp;"-,Normal"&amp;11
&amp;R&amp;"-,Fed"&amp;12KKR Hovedstaden
Rammeaftale 2023-2024
Styringsdelen</oddHeader>
    <oddFooter>&amp;LBilag 3: Model til beregning af efterregulering af over-/underskud og belægningsprocent ved anvendelse af flere takstniveauer&amp;RSide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tabSelected="1" view="pageLayout" zoomScaleNormal="100" workbookViewId="0">
      <selection activeCell="A76" sqref="A76"/>
    </sheetView>
  </sheetViews>
  <sheetFormatPr defaultRowHeight="14.5" x14ac:dyDescent="0.35"/>
  <cols>
    <col min="1" max="1" width="35.54296875" style="1" customWidth="1"/>
    <col min="2" max="2" width="14.7265625" style="1" customWidth="1"/>
    <col min="3" max="3" width="13.26953125" style="1" bestFit="1" customWidth="1"/>
    <col min="4" max="4" width="9.81640625" style="1" customWidth="1"/>
    <col min="5" max="5" width="10.7265625" customWidth="1"/>
    <col min="6" max="6" width="1.81640625" customWidth="1"/>
  </cols>
  <sheetData>
    <row r="1" spans="1:15" x14ac:dyDescent="0.35">
      <c r="A1" s="2" t="s">
        <v>53</v>
      </c>
      <c r="B1" s="20"/>
      <c r="C1" s="20"/>
      <c r="D1" s="20"/>
      <c r="E1" s="21"/>
    </row>
    <row r="2" spans="1:15" ht="7.5" customHeight="1" x14ac:dyDescent="0.35">
      <c r="A2" s="20"/>
      <c r="B2" s="20"/>
      <c r="C2" s="20"/>
      <c r="D2" s="20"/>
      <c r="E2" s="21"/>
    </row>
    <row r="3" spans="1:15" x14ac:dyDescent="0.35">
      <c r="A3" s="21" t="s">
        <v>54</v>
      </c>
      <c r="B3" s="20"/>
      <c r="C3" s="20"/>
      <c r="D3" s="20"/>
      <c r="E3" s="20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21" t="s">
        <v>45</v>
      </c>
      <c r="B4" s="20"/>
      <c r="C4" s="20"/>
      <c r="D4" s="20"/>
      <c r="E4" s="20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5">
      <c r="A5" s="21" t="s">
        <v>1</v>
      </c>
      <c r="B5" s="20"/>
      <c r="C5" s="20"/>
      <c r="D5" s="20"/>
      <c r="E5" s="20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7.5" customHeight="1" x14ac:dyDescent="0.35">
      <c r="A6" s="21"/>
      <c r="B6" s="20"/>
      <c r="C6" s="20"/>
      <c r="D6" s="20"/>
      <c r="E6" s="2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5">
      <c r="A7" s="23" t="s">
        <v>39</v>
      </c>
      <c r="B7" s="20"/>
      <c r="C7" s="20"/>
      <c r="D7" s="20"/>
      <c r="E7" s="20"/>
      <c r="F7" s="1"/>
      <c r="G7" s="1"/>
      <c r="H7" s="1"/>
      <c r="I7" s="1"/>
      <c r="J7" s="1"/>
      <c r="K7" s="1"/>
      <c r="L7" s="1"/>
      <c r="M7" s="1"/>
      <c r="N7" s="1"/>
    </row>
    <row r="8" spans="1:15" x14ac:dyDescent="0.35">
      <c r="A8" s="128" t="s">
        <v>47</v>
      </c>
      <c r="B8" s="20"/>
      <c r="C8" s="20"/>
      <c r="D8" s="20"/>
      <c r="E8" s="20"/>
      <c r="F8" s="1"/>
      <c r="G8" s="1"/>
      <c r="H8" s="1"/>
      <c r="I8" s="1"/>
      <c r="J8" s="1"/>
      <c r="K8" s="1"/>
      <c r="L8" s="1"/>
      <c r="M8" s="1"/>
      <c r="N8" s="1"/>
    </row>
    <row r="9" spans="1:15" x14ac:dyDescent="0.35">
      <c r="A9" s="128" t="s">
        <v>36</v>
      </c>
      <c r="B9" s="20"/>
      <c r="C9" s="20"/>
      <c r="D9" s="20"/>
      <c r="E9" s="20"/>
      <c r="F9" s="1"/>
      <c r="G9" s="1"/>
      <c r="H9" s="1"/>
      <c r="I9" s="1"/>
      <c r="J9" s="1"/>
      <c r="K9" s="1"/>
      <c r="L9" s="1"/>
      <c r="M9" s="1"/>
      <c r="N9" s="1"/>
    </row>
    <row r="10" spans="1:15" ht="7.5" customHeight="1" x14ac:dyDescent="0.35">
      <c r="A10" s="128"/>
      <c r="B10" s="20"/>
      <c r="C10" s="20"/>
      <c r="D10" s="20"/>
      <c r="E10" s="20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35">
      <c r="A11" s="128" t="s">
        <v>55</v>
      </c>
      <c r="B11" s="20"/>
      <c r="C11" s="20"/>
      <c r="D11" s="20"/>
      <c r="E11" s="20"/>
      <c r="F11" s="1"/>
      <c r="G11" s="1"/>
      <c r="H11" s="1"/>
      <c r="I11" s="1"/>
      <c r="J11" s="1"/>
      <c r="K11" s="1"/>
      <c r="L11" s="1"/>
      <c r="M11" s="1"/>
      <c r="N11" s="1"/>
    </row>
    <row r="12" spans="1:15" x14ac:dyDescent="0.35">
      <c r="A12" s="23" t="s">
        <v>56</v>
      </c>
      <c r="B12" s="20"/>
      <c r="C12" s="20"/>
      <c r="D12" s="20"/>
      <c r="E12" s="20"/>
      <c r="F12" s="1"/>
      <c r="G12" s="1"/>
      <c r="H12" s="1"/>
      <c r="I12" s="1"/>
      <c r="J12" s="1"/>
      <c r="K12" s="1"/>
      <c r="L12" s="1"/>
      <c r="M12" s="1"/>
      <c r="N12" s="1"/>
    </row>
    <row r="13" spans="1:15" x14ac:dyDescent="0.35">
      <c r="A13" s="23" t="s">
        <v>57</v>
      </c>
      <c r="B13" s="20"/>
      <c r="C13" s="20"/>
      <c r="D13" s="20"/>
      <c r="E13" s="20"/>
      <c r="F13" s="1"/>
      <c r="G13" s="1"/>
      <c r="H13" s="1"/>
      <c r="I13" s="1"/>
      <c r="J13" s="1"/>
      <c r="K13" s="1"/>
      <c r="L13" s="1"/>
      <c r="M13" s="1"/>
      <c r="N13" s="1"/>
    </row>
    <row r="14" spans="1:15" x14ac:dyDescent="0.35">
      <c r="A14" s="20"/>
      <c r="B14" s="20"/>
      <c r="C14" s="20"/>
      <c r="D14" s="20"/>
      <c r="E14" s="20"/>
      <c r="F14" s="1"/>
      <c r="G14" s="1"/>
      <c r="H14" s="1"/>
      <c r="I14" s="1"/>
      <c r="J14" s="1"/>
      <c r="K14" s="1"/>
      <c r="L14" s="1"/>
      <c r="M14" s="1"/>
      <c r="N14" s="1"/>
    </row>
    <row r="15" spans="1:15" x14ac:dyDescent="0.35">
      <c r="A15" s="22" t="s">
        <v>40</v>
      </c>
      <c r="B15" s="20"/>
      <c r="C15" s="20"/>
      <c r="D15" s="20"/>
      <c r="E15" s="20"/>
      <c r="F15" s="1"/>
      <c r="G15" s="1"/>
      <c r="H15" s="1"/>
      <c r="I15" s="1"/>
      <c r="J15" s="1"/>
      <c r="K15" s="1"/>
      <c r="L15" s="1"/>
      <c r="M15" s="1"/>
      <c r="N15" s="1"/>
    </row>
    <row r="16" spans="1:15" x14ac:dyDescent="0.35">
      <c r="A16" s="20" t="s">
        <v>41</v>
      </c>
      <c r="B16" s="20"/>
      <c r="C16" s="20"/>
      <c r="D16" s="20"/>
      <c r="E16" s="20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5">
      <c r="A17" s="20" t="s">
        <v>58</v>
      </c>
      <c r="B17" s="20"/>
      <c r="C17" s="20"/>
      <c r="D17" s="20"/>
      <c r="E17" s="20"/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 x14ac:dyDescent="0.35">
      <c r="A18" s="20" t="s">
        <v>46</v>
      </c>
      <c r="B18" s="20"/>
      <c r="C18" s="20"/>
      <c r="D18" s="20"/>
      <c r="E18" s="20"/>
      <c r="F18" s="1"/>
      <c r="G18" s="1"/>
      <c r="H18" s="1"/>
      <c r="I18" s="1"/>
      <c r="J18" s="1"/>
      <c r="K18" s="1"/>
      <c r="L18" s="1"/>
      <c r="M18" s="1"/>
      <c r="N18" s="1"/>
    </row>
    <row r="19" spans="1:14" ht="14.25" customHeight="1" x14ac:dyDescent="0.35">
      <c r="A19" s="20"/>
      <c r="B19" s="20"/>
      <c r="C19" s="20"/>
      <c r="D19" s="20"/>
      <c r="E19" s="20"/>
      <c r="F19" s="1"/>
      <c r="G19" s="1"/>
      <c r="H19" s="1"/>
      <c r="I19" s="1"/>
      <c r="J19" s="1"/>
      <c r="K19" s="1"/>
      <c r="L19" s="1"/>
      <c r="M19" s="1"/>
      <c r="N19" s="1"/>
    </row>
    <row r="20" spans="1:14" ht="15" thickBot="1" x14ac:dyDescent="0.4">
      <c r="A20" s="129" t="s">
        <v>37</v>
      </c>
      <c r="B20" s="20"/>
      <c r="C20" s="20"/>
      <c r="D20" s="20"/>
      <c r="E20" s="21"/>
    </row>
    <row r="21" spans="1:14" x14ac:dyDescent="0.35">
      <c r="A21" s="130"/>
      <c r="B21" s="95" t="s">
        <v>33</v>
      </c>
      <c r="C21" s="20"/>
      <c r="D21" s="20"/>
      <c r="E21" s="21"/>
    </row>
    <row r="22" spans="1:14" x14ac:dyDescent="0.35">
      <c r="A22" s="131" t="s">
        <v>29</v>
      </c>
      <c r="B22" s="132">
        <f>(('Simulering ved flere takstniv'!C18*'Simulering ved flere takstniv'!B16)+('Simulering ved flere takstniv'!C25*'Simulering ved flere takstniv'!B23)+('Simulering ved flere takstniv'!C32*'Simulering ved flere takstniv'!B30)+('Simulering ved flere takstniv'!C39*'Simulering ved flere takstniv'!B37))/-'Simulering ved flere takstniv'!B12</f>
        <v>1.014</v>
      </c>
      <c r="C22" s="20"/>
      <c r="D22" s="20"/>
      <c r="E22" s="21"/>
    </row>
    <row r="23" spans="1:14" x14ac:dyDescent="0.35">
      <c r="A23" s="133" t="s">
        <v>30</v>
      </c>
      <c r="B23" s="134">
        <f>(('Simulering ved flere takstniv'!I18*'Simulering ved flere takstniv'!H16)+('Simulering ved flere takstniv'!I25*'Simulering ved flere takstniv'!H23)+('Simulering ved flere takstniv'!I32*'Simulering ved flere takstniv'!H30)+('Simulering ved flere takstniv'!I39*'Simulering ved flere takstniv'!H37))/-'Simulering ved flere takstniv'!H12</f>
        <v>0.98</v>
      </c>
      <c r="C23" s="20"/>
      <c r="D23" s="20"/>
      <c r="E23" s="21"/>
    </row>
    <row r="24" spans="1:14" ht="15" thickBot="1" x14ac:dyDescent="0.4">
      <c r="A24" s="135" t="s">
        <v>31</v>
      </c>
      <c r="B24" s="136">
        <f>IF(AVERAGE(B22:B23)&gt;100%,100%,AVERAGE(B22:B23))</f>
        <v>0.997</v>
      </c>
      <c r="C24" s="20"/>
      <c r="D24" s="20"/>
      <c r="E24" s="21"/>
    </row>
    <row r="25" spans="1:14" x14ac:dyDescent="0.35">
      <c r="A25" s="88"/>
      <c r="B25" s="20"/>
      <c r="C25" s="20"/>
      <c r="D25" s="20"/>
      <c r="E25" s="21"/>
    </row>
    <row r="26" spans="1:14" ht="15" thickBot="1" x14ac:dyDescent="0.4">
      <c r="A26" s="88" t="s">
        <v>74</v>
      </c>
      <c r="B26" s="26"/>
      <c r="C26" s="26"/>
      <c r="D26" s="26"/>
      <c r="E26" s="26"/>
    </row>
    <row r="27" spans="1:14" s="4" customFormat="1" ht="18.75" customHeight="1" x14ac:dyDescent="0.35">
      <c r="A27" s="147"/>
      <c r="B27" s="149" t="s">
        <v>7</v>
      </c>
      <c r="C27" s="149" t="s">
        <v>8</v>
      </c>
      <c r="D27" s="91" t="s">
        <v>9</v>
      </c>
      <c r="E27" s="145" t="s">
        <v>10</v>
      </c>
    </row>
    <row r="28" spans="1:14" s="4" customFormat="1" ht="40.5" customHeight="1" thickBot="1" x14ac:dyDescent="0.4">
      <c r="A28" s="148"/>
      <c r="B28" s="150"/>
      <c r="C28" s="150"/>
      <c r="D28" s="92" t="s">
        <v>27</v>
      </c>
      <c r="E28" s="146"/>
    </row>
    <row r="29" spans="1:14" x14ac:dyDescent="0.35">
      <c r="A29" s="93" t="s">
        <v>49</v>
      </c>
      <c r="B29" s="38">
        <v>7425000</v>
      </c>
      <c r="C29" s="96">
        <v>7381000</v>
      </c>
      <c r="D29" s="32">
        <f t="shared" ref="D29" si="0">C29-B29</f>
        <v>-44000</v>
      </c>
      <c r="E29" s="97"/>
    </row>
    <row r="30" spans="1:14" x14ac:dyDescent="0.35">
      <c r="A30" s="98" t="s">
        <v>77</v>
      </c>
      <c r="B30" s="35">
        <f>B29*0.06</f>
        <v>445500</v>
      </c>
      <c r="C30" s="36">
        <f>B30</f>
        <v>445500</v>
      </c>
      <c r="D30" s="35"/>
      <c r="E30" s="97"/>
    </row>
    <row r="31" spans="1:14" x14ac:dyDescent="0.35">
      <c r="A31" s="98" t="s">
        <v>12</v>
      </c>
      <c r="B31" s="38">
        <v>20000</v>
      </c>
      <c r="C31" s="36">
        <f>B31</f>
        <v>20000</v>
      </c>
      <c r="D31" s="35"/>
      <c r="E31" s="100"/>
    </row>
    <row r="32" spans="1:14" x14ac:dyDescent="0.35">
      <c r="A32" s="39" t="s">
        <v>70</v>
      </c>
      <c r="B32" s="101">
        <v>-150000</v>
      </c>
      <c r="C32" s="45">
        <v>-150000</v>
      </c>
      <c r="D32" s="102">
        <f>C32-B32</f>
        <v>0</v>
      </c>
      <c r="E32" s="103"/>
    </row>
    <row r="33" spans="1:5" x14ac:dyDescent="0.35">
      <c r="A33" s="98" t="s">
        <v>13</v>
      </c>
      <c r="B33" s="35">
        <f>SUM(B29:B32)</f>
        <v>7740500</v>
      </c>
      <c r="C33" s="35">
        <f>SUM(C29:C32)</f>
        <v>7696500</v>
      </c>
      <c r="D33" s="35">
        <f>C33-B33</f>
        <v>-44000</v>
      </c>
      <c r="E33" s="97"/>
    </row>
    <row r="34" spans="1:5" x14ac:dyDescent="0.35">
      <c r="A34" s="104" t="s">
        <v>14</v>
      </c>
      <c r="B34" s="45">
        <f>'Simulering ved flere takstniv'!J49</f>
        <v>-139480</v>
      </c>
      <c r="C34" s="46">
        <f>B34</f>
        <v>-139480</v>
      </c>
      <c r="D34" s="42"/>
      <c r="E34" s="103"/>
    </row>
    <row r="35" spans="1:5" ht="15" thickBot="1" x14ac:dyDescent="0.4">
      <c r="A35" s="106" t="s">
        <v>15</v>
      </c>
      <c r="B35" s="48">
        <f>SUM(B33:B34)</f>
        <v>7601020</v>
      </c>
      <c r="C35" s="49">
        <f>SUM(C33:C34)</f>
        <v>7557020</v>
      </c>
      <c r="D35" s="48">
        <f>C35-B35</f>
        <v>-44000</v>
      </c>
      <c r="E35" s="50">
        <f>IF(D35=0,0,D35/B35)</f>
        <v>-5.7886967801689775E-3</v>
      </c>
    </row>
    <row r="36" spans="1:5" ht="15" customHeight="1" x14ac:dyDescent="0.35">
      <c r="A36" s="18" t="s">
        <v>50</v>
      </c>
    </row>
    <row r="37" spans="1:5" ht="15" thickBot="1" x14ac:dyDescent="0.4">
      <c r="A37" s="129" t="s">
        <v>59</v>
      </c>
      <c r="B37" s="20"/>
      <c r="C37" s="20"/>
      <c r="D37" s="52" t="s">
        <v>16</v>
      </c>
      <c r="E37" s="53">
        <v>0.2</v>
      </c>
    </row>
    <row r="38" spans="1:5" s="4" customFormat="1" ht="27" thickBot="1" x14ac:dyDescent="0.4">
      <c r="A38" s="109"/>
      <c r="B38" s="110" t="s">
        <v>28</v>
      </c>
      <c r="C38" s="111" t="s">
        <v>8</v>
      </c>
      <c r="D38" s="112" t="s">
        <v>17</v>
      </c>
      <c r="E38" s="113" t="s">
        <v>10</v>
      </c>
    </row>
    <row r="39" spans="1:5" x14ac:dyDescent="0.35">
      <c r="A39" s="114" t="s">
        <v>18</v>
      </c>
      <c r="B39" s="60">
        <f>-$B$35*E37</f>
        <v>-1520204</v>
      </c>
      <c r="C39" s="137">
        <v>-1554712</v>
      </c>
      <c r="D39" s="60">
        <f>C39-B39</f>
        <v>-34508</v>
      </c>
      <c r="E39" s="61">
        <f>IF(D39=0,0,-D39/B39)</f>
        <v>-2.2699585055689895E-2</v>
      </c>
    </row>
    <row r="40" spans="1:5" x14ac:dyDescent="0.35">
      <c r="A40" s="98" t="s">
        <v>19</v>
      </c>
      <c r="B40" s="62">
        <v>8</v>
      </c>
      <c r="C40" s="36">
        <f>B40</f>
        <v>8</v>
      </c>
      <c r="D40" s="35"/>
      <c r="E40" s="37"/>
    </row>
    <row r="41" spans="1:5" ht="15" thickBot="1" x14ac:dyDescent="0.4">
      <c r="A41" s="115" t="s">
        <v>20</v>
      </c>
      <c r="B41" s="116">
        <f>$B$24</f>
        <v>0.997</v>
      </c>
      <c r="C41" s="65">
        <v>1</v>
      </c>
      <c r="D41" s="66"/>
      <c r="E41" s="80"/>
    </row>
    <row r="42" spans="1:5" ht="15" thickBot="1" x14ac:dyDescent="0.4">
      <c r="A42" s="109" t="s">
        <v>21</v>
      </c>
      <c r="B42" s="68">
        <f>-IF(B39=0,0,B39/(B40*B41))</f>
        <v>190597.29187562689</v>
      </c>
      <c r="C42" s="69"/>
      <c r="D42" s="70"/>
      <c r="E42" s="70"/>
    </row>
    <row r="43" spans="1:5" ht="6" customHeight="1" x14ac:dyDescent="0.35">
      <c r="A43" s="117"/>
      <c r="B43" s="72"/>
      <c r="C43" s="72"/>
      <c r="D43" s="70"/>
      <c r="E43" s="20"/>
    </row>
    <row r="44" spans="1:5" ht="15" thickBot="1" x14ac:dyDescent="0.4">
      <c r="A44" s="108" t="s">
        <v>60</v>
      </c>
      <c r="B44" s="20"/>
      <c r="C44" s="20"/>
      <c r="D44" s="52" t="s">
        <v>16</v>
      </c>
      <c r="E44" s="53">
        <v>0.3</v>
      </c>
    </row>
    <row r="45" spans="1:5" s="4" customFormat="1" ht="27" thickBot="1" x14ac:dyDescent="0.4">
      <c r="A45" s="109"/>
      <c r="B45" s="110" t="s">
        <v>7</v>
      </c>
      <c r="C45" s="111" t="s">
        <v>8</v>
      </c>
      <c r="D45" s="112" t="s">
        <v>17</v>
      </c>
      <c r="E45" s="113" t="s">
        <v>10</v>
      </c>
    </row>
    <row r="46" spans="1:5" x14ac:dyDescent="0.35">
      <c r="A46" s="114" t="s">
        <v>18</v>
      </c>
      <c r="B46" s="60">
        <f>-$B$35*E44</f>
        <v>-2280306</v>
      </c>
      <c r="C46" s="137">
        <v>-2285426</v>
      </c>
      <c r="D46" s="60">
        <f>C46-B46</f>
        <v>-5120</v>
      </c>
      <c r="E46" s="61">
        <f>IF(D46=0,0,-D46/B46)</f>
        <v>-2.2453126904897853E-3</v>
      </c>
    </row>
    <row r="47" spans="1:5" x14ac:dyDescent="0.35">
      <c r="A47" s="98" t="s">
        <v>19</v>
      </c>
      <c r="B47" s="62">
        <v>4</v>
      </c>
      <c r="C47" s="36"/>
      <c r="D47" s="35"/>
      <c r="E47" s="37"/>
    </row>
    <row r="48" spans="1:5" ht="15" thickBot="1" x14ac:dyDescent="0.4">
      <c r="A48" s="115" t="s">
        <v>20</v>
      </c>
      <c r="B48" s="116">
        <f>$B$24</f>
        <v>0.997</v>
      </c>
      <c r="C48" s="65">
        <v>0.98</v>
      </c>
      <c r="D48" s="66"/>
      <c r="E48" s="67"/>
    </row>
    <row r="49" spans="1:5" ht="15" thickBot="1" x14ac:dyDescent="0.4">
      <c r="A49" s="109" t="s">
        <v>21</v>
      </c>
      <c r="B49" s="68">
        <f>-IF(B46=0,0,B46/(B47*B48))</f>
        <v>571791.87562688068</v>
      </c>
      <c r="C49" s="69"/>
      <c r="D49" s="70"/>
      <c r="E49" s="70"/>
    </row>
    <row r="50" spans="1:5" ht="7.5" customHeight="1" x14ac:dyDescent="0.35">
      <c r="A50" s="117"/>
      <c r="B50" s="70"/>
      <c r="C50" s="69"/>
      <c r="D50" s="70"/>
      <c r="E50" s="70"/>
    </row>
    <row r="51" spans="1:5" ht="15" thickBot="1" x14ac:dyDescent="0.4">
      <c r="A51" s="108" t="s">
        <v>61</v>
      </c>
      <c r="B51" s="20"/>
      <c r="C51" s="20"/>
      <c r="D51" s="52" t="s">
        <v>16</v>
      </c>
      <c r="E51" s="53">
        <v>0.2</v>
      </c>
    </row>
    <row r="52" spans="1:5" s="4" customFormat="1" ht="27" thickBot="1" x14ac:dyDescent="0.4">
      <c r="A52" s="109"/>
      <c r="B52" s="110" t="s">
        <v>7</v>
      </c>
      <c r="C52" s="111" t="s">
        <v>8</v>
      </c>
      <c r="D52" s="112" t="s">
        <v>17</v>
      </c>
      <c r="E52" s="113" t="s">
        <v>10</v>
      </c>
    </row>
    <row r="53" spans="1:5" x14ac:dyDescent="0.35">
      <c r="A53" s="114" t="s">
        <v>18</v>
      </c>
      <c r="B53" s="60">
        <f>-$B$35*E51</f>
        <v>-1520204</v>
      </c>
      <c r="C53" s="137">
        <v>-1523617</v>
      </c>
      <c r="D53" s="60">
        <f>C53-B53</f>
        <v>-3413</v>
      </c>
      <c r="E53" s="61">
        <f>IF(D53=0,0,-D53/B53)</f>
        <v>-2.2450934216723547E-3</v>
      </c>
    </row>
    <row r="54" spans="1:5" x14ac:dyDescent="0.35">
      <c r="A54" s="98" t="s">
        <v>19</v>
      </c>
      <c r="B54" s="62">
        <v>2</v>
      </c>
      <c r="C54" s="36"/>
      <c r="D54" s="35"/>
      <c r="E54" s="37"/>
    </row>
    <row r="55" spans="1:5" ht="15" thickBot="1" x14ac:dyDescent="0.4">
      <c r="A55" s="115" t="s">
        <v>20</v>
      </c>
      <c r="B55" s="116">
        <f>$B$24</f>
        <v>0.997</v>
      </c>
      <c r="C55" s="65">
        <v>0.98</v>
      </c>
      <c r="D55" s="66"/>
      <c r="E55" s="67"/>
    </row>
    <row r="56" spans="1:5" ht="15" thickBot="1" x14ac:dyDescent="0.4">
      <c r="A56" s="109" t="s">
        <v>21</v>
      </c>
      <c r="B56" s="68">
        <f>-IF(B53=0,0,B53/(B54*B55))</f>
        <v>762389.16750250757</v>
      </c>
      <c r="C56" s="69"/>
      <c r="D56" s="70"/>
      <c r="E56" s="70"/>
    </row>
    <row r="57" spans="1:5" ht="7.5" customHeight="1" x14ac:dyDescent="0.35">
      <c r="A57" s="117"/>
      <c r="B57" s="70"/>
      <c r="C57" s="69"/>
      <c r="D57" s="70"/>
      <c r="E57" s="70"/>
    </row>
    <row r="58" spans="1:5" ht="15" thickBot="1" x14ac:dyDescent="0.4">
      <c r="A58" s="108" t="s">
        <v>62</v>
      </c>
      <c r="B58" s="20"/>
      <c r="C58" s="20"/>
      <c r="D58" s="52" t="s">
        <v>16</v>
      </c>
      <c r="E58" s="53">
        <v>0.3</v>
      </c>
    </row>
    <row r="59" spans="1:5" s="4" customFormat="1" ht="27" thickBot="1" x14ac:dyDescent="0.4">
      <c r="A59" s="109"/>
      <c r="B59" s="110" t="s">
        <v>7</v>
      </c>
      <c r="C59" s="111" t="s">
        <v>8</v>
      </c>
      <c r="D59" s="112" t="s">
        <v>17</v>
      </c>
      <c r="E59" s="113" t="s">
        <v>10</v>
      </c>
    </row>
    <row r="60" spans="1:5" x14ac:dyDescent="0.35">
      <c r="A60" s="114" t="s">
        <v>18</v>
      </c>
      <c r="B60" s="60">
        <f>-$B$35*E58</f>
        <v>-2280306</v>
      </c>
      <c r="C60" s="137">
        <v>-2332068</v>
      </c>
      <c r="D60" s="60">
        <f>C60-B60</f>
        <v>-51762</v>
      </c>
      <c r="E60" s="61">
        <f>IF(D60=0,0,-D60/B60)</f>
        <v>-2.2699585055689895E-2</v>
      </c>
    </row>
    <row r="61" spans="1:5" x14ac:dyDescent="0.35">
      <c r="A61" s="98" t="s">
        <v>19</v>
      </c>
      <c r="B61" s="62">
        <v>2</v>
      </c>
      <c r="C61" s="36"/>
      <c r="D61" s="35"/>
      <c r="E61" s="37"/>
    </row>
    <row r="62" spans="1:5" ht="15" thickBot="1" x14ac:dyDescent="0.4">
      <c r="A62" s="115" t="s">
        <v>20</v>
      </c>
      <c r="B62" s="116">
        <f>$B$24</f>
        <v>0.997</v>
      </c>
      <c r="C62" s="65">
        <v>1</v>
      </c>
      <c r="D62" s="66"/>
      <c r="E62" s="67"/>
    </row>
    <row r="63" spans="1:5" ht="15" thickBot="1" x14ac:dyDescent="0.4">
      <c r="A63" s="109" t="s">
        <v>21</v>
      </c>
      <c r="B63" s="68">
        <f>-IF(B60=0,0,B60/(B61*B62))</f>
        <v>1143583.7512537614</v>
      </c>
      <c r="C63" s="69"/>
      <c r="D63" s="70"/>
      <c r="E63" s="70"/>
    </row>
    <row r="64" spans="1:5" ht="6.75" customHeight="1" thickBot="1" x14ac:dyDescent="0.4">
      <c r="A64" s="117"/>
      <c r="B64" s="70"/>
      <c r="C64" s="69"/>
      <c r="D64" s="70"/>
      <c r="E64" s="70"/>
    </row>
    <row r="65" spans="1:7" ht="15" thickBot="1" x14ac:dyDescent="0.4">
      <c r="A65" s="118" t="s">
        <v>22</v>
      </c>
      <c r="B65" s="74"/>
      <c r="C65" s="75"/>
      <c r="D65" s="74">
        <f>SUM(D39,D46,D53,D60)</f>
        <v>-94803</v>
      </c>
      <c r="E65" s="119">
        <f>D65/B35</f>
        <v>-1.2472405019326354E-2</v>
      </c>
    </row>
    <row r="66" spans="1:7" ht="6.75" customHeight="1" thickBot="1" x14ac:dyDescent="0.4">
      <c r="A66" s="117"/>
      <c r="B66" s="70"/>
      <c r="C66" s="69"/>
      <c r="D66" s="70"/>
      <c r="E66" s="70"/>
    </row>
    <row r="67" spans="1:7" ht="15" thickBot="1" x14ac:dyDescent="0.4">
      <c r="A67" s="118" t="s">
        <v>23</v>
      </c>
      <c r="B67" s="74"/>
      <c r="C67" s="74"/>
      <c r="D67" s="74">
        <f>SUM(D35,D65)</f>
        <v>-138803</v>
      </c>
      <c r="E67" s="76">
        <f>IF(D67=0,0,D67/B35)</f>
        <v>-1.8261101799495329E-2</v>
      </c>
    </row>
    <row r="68" spans="1:7" ht="6" customHeight="1" thickBot="1" x14ac:dyDescent="0.4">
      <c r="A68" s="117"/>
      <c r="B68" s="70"/>
      <c r="C68" s="70"/>
      <c r="D68" s="70"/>
      <c r="E68" s="69"/>
    </row>
    <row r="69" spans="1:7" x14ac:dyDescent="0.35">
      <c r="A69" s="120" t="s">
        <v>24</v>
      </c>
      <c r="B69" s="78">
        <f>B35*0.05</f>
        <v>380051</v>
      </c>
      <c r="C69" s="70"/>
      <c r="D69" s="70"/>
      <c r="E69" s="20"/>
    </row>
    <row r="70" spans="1:7" ht="15" thickBot="1" x14ac:dyDescent="0.4">
      <c r="A70" s="121" t="s">
        <v>32</v>
      </c>
      <c r="B70" s="80">
        <f>B35*-0.05</f>
        <v>-380051</v>
      </c>
      <c r="C70" s="70"/>
      <c r="D70" s="70"/>
      <c r="E70" s="20"/>
    </row>
    <row r="71" spans="1:7" ht="7.5" customHeight="1" thickBot="1" x14ac:dyDescent="0.4">
      <c r="A71" s="122"/>
      <c r="B71" s="70"/>
      <c r="C71" s="70"/>
      <c r="D71" s="70"/>
      <c r="E71" s="20"/>
      <c r="G71" s="9"/>
    </row>
    <row r="72" spans="1:7" s="10" customFormat="1" x14ac:dyDescent="0.35">
      <c r="A72" s="123" t="s">
        <v>25</v>
      </c>
      <c r="B72" s="83"/>
      <c r="C72" s="83"/>
      <c r="D72" s="83">
        <f>IF(D67&lt;B70,D67-B70,IF(D67&lt;B69,0,IF(D67&gt;0,D67-B69,IF(D67&gt;B70,0,D67-B70))))</f>
        <v>0</v>
      </c>
      <c r="E72" s="84">
        <f>IF(D72=0,0,D72/B35)</f>
        <v>0</v>
      </c>
      <c r="G72" s="11"/>
    </row>
    <row r="73" spans="1:7" s="12" customFormat="1" ht="15" thickBot="1" x14ac:dyDescent="0.4">
      <c r="A73" s="125" t="s">
        <v>26</v>
      </c>
      <c r="B73" s="86"/>
      <c r="C73" s="86"/>
      <c r="D73" s="86">
        <f>D67-D72</f>
        <v>-138803</v>
      </c>
      <c r="E73" s="87">
        <f>IF(D73=0,0,D73/B35)</f>
        <v>-1.8261101799495329E-2</v>
      </c>
      <c r="G73" s="13"/>
    </row>
    <row r="74" spans="1:7" ht="9" customHeight="1" x14ac:dyDescent="0.35">
      <c r="A74" s="8"/>
      <c r="E74" s="1"/>
    </row>
  </sheetData>
  <mergeCells count="4">
    <mergeCell ref="A27:A28"/>
    <mergeCell ref="B27:B28"/>
    <mergeCell ref="C27:C28"/>
    <mergeCell ref="E27:E28"/>
  </mergeCells>
  <pageMargins left="0.7" right="0.7" top="0.75" bottom="0.75" header="0.3" footer="0.3"/>
  <pageSetup paperSize="9" scale="67" orientation="portrait" r:id="rId1"/>
  <headerFooter>
    <oddHeader>&amp;L&amp;"-,Fed"&amp;14Appendix: Eksempel på model til beregning af efterregulering af over-/underskud og belægningsprocent
ved anvendelse af flere takstniveauer&amp;"-,Normal"&amp;11
&amp;R&amp;"-,Fed"&amp;12KKR Hovedstaden
Rammeaftale 2023-2024
Styringsdelen</oddHeader>
    <oddFooter>&amp;LAppendix: Model til beregning af efterregulering af over-/underskud og belægningsprocent ved anvendelse af flere takstniveauer&amp;RSide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Model for flere takstniveauer</vt:lpstr>
      <vt:lpstr>Simulering ved flere takstniv</vt:lpstr>
      <vt:lpstr>Beregning af belægningsprocent</vt:lpstr>
    </vt:vector>
  </TitlesOfParts>
  <Company>Frederiksberg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sora04</dc:creator>
  <cp:lastModifiedBy>KKR - Sine Hansen</cp:lastModifiedBy>
  <cp:lastPrinted>2015-04-28T10:39:38Z</cp:lastPrinted>
  <dcterms:created xsi:type="dcterms:W3CDTF">2013-04-24T06:35:23Z</dcterms:created>
  <dcterms:modified xsi:type="dcterms:W3CDTF">2022-09-09T11:06:55Z</dcterms:modified>
</cp:coreProperties>
</file>